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5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6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17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21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2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5.xml" ContentType="application/vnd.openxmlformats-officedocument.drawing+xml"/>
  <Override PartName="/xl/charts/chart23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6.xml" ContentType="application/vnd.openxmlformats-officedocument.drawing+xml"/>
  <Override PartName="/xl/charts/chart24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5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26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7.xml" ContentType="application/vnd.openxmlformats-officedocument.drawing+xml"/>
  <Override PartName="/xl/charts/chart27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58659605715c72d/Desktop/ETHZ_editing version/Data/5_Neat styrene reactions/Rates/"/>
    </mc:Choice>
  </mc:AlternateContent>
  <xr:revisionPtr revIDLastSave="2629" documentId="8_{AC45CC46-3616-4CB3-A785-D3C9FEF615AB}" xr6:coauthVersionLast="46" xr6:coauthVersionMax="46" xr10:uidLastSave="{BB55724C-2709-4791-8847-C6CB6FEAC2ED}"/>
  <bookViews>
    <workbookView xWindow="-103" yWindow="-103" windowWidth="15574" windowHeight="9463" firstSheet="2" activeTab="3" xr2:uid="{BD3CDF6E-FB37-4DEC-A5BC-20D75835A274}"/>
  </bookViews>
  <sheets>
    <sheet name="old_biotransf4 21102020" sheetId="7" r:id="rId1"/>
    <sheet name="feed patterns 26102020" sheetId="8" r:id="rId2"/>
    <sheet name="temperatures 29102020" sheetId="9" r:id="rId3"/>
    <sheet name="bead size 04122020" sheetId="10" r:id="rId4"/>
    <sheet name="calibration curve 20_10_2020" sheetId="4" r:id="rId5"/>
    <sheet name="old_calibrationcurve 13_10_2020" sheetId="1" r:id="rId6"/>
    <sheet name="old_biotransf3 20102020" sheetId="5" r:id="rId7"/>
    <sheet name="old_biotransf2 15102020" sheetId="3" r:id="rId8"/>
    <sheet name="old_biotranf1 13_10_2020" sheetId="2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2" i="10" l="1"/>
  <c r="T11" i="10"/>
  <c r="T24" i="10"/>
  <c r="T23" i="10"/>
  <c r="T36" i="10"/>
  <c r="T35" i="10"/>
  <c r="T48" i="10"/>
  <c r="T47" i="10"/>
  <c r="R51" i="10"/>
  <c r="R39" i="10"/>
  <c r="R27" i="10"/>
  <c r="R15" i="10"/>
  <c r="R9" i="10"/>
  <c r="R45" i="10"/>
  <c r="R33" i="10"/>
  <c r="R21" i="10"/>
  <c r="Q51" i="10"/>
  <c r="Q45" i="10"/>
  <c r="Q39" i="10"/>
  <c r="Q33" i="10"/>
  <c r="Q27" i="10"/>
  <c r="Q21" i="10"/>
  <c r="Q15" i="10"/>
  <c r="Q9" i="10"/>
  <c r="L36" i="9" l="1"/>
  <c r="L55" i="9"/>
  <c r="L57" i="9" s="1"/>
  <c r="L47" i="9"/>
  <c r="L49" i="9" s="1"/>
  <c r="L34" i="9"/>
  <c r="L26" i="9"/>
  <c r="L28" i="9" s="1"/>
  <c r="L13" i="9"/>
  <c r="L15" i="9" s="1"/>
  <c r="L7" i="9"/>
  <c r="L5" i="9"/>
  <c r="AR47" i="9"/>
  <c r="AI50" i="9"/>
  <c r="AI49" i="9"/>
  <c r="AI48" i="9"/>
  <c r="AI47" i="9"/>
  <c r="P48" i="9"/>
  <c r="Q46" i="9"/>
  <c r="R46" i="9"/>
  <c r="J6" i="8"/>
  <c r="K10" i="8"/>
  <c r="J14" i="8"/>
  <c r="K6" i="8" l="1"/>
  <c r="P7" i="8"/>
  <c r="R8" i="8"/>
  <c r="Q8" i="8"/>
  <c r="P12" i="8"/>
  <c r="P9" i="8"/>
  <c r="E25" i="8"/>
  <c r="P8" i="8"/>
  <c r="P11" i="8"/>
  <c r="N11" i="7"/>
  <c r="K14" i="8"/>
  <c r="L11" i="7"/>
  <c r="N5" i="7"/>
  <c r="Q11" i="7"/>
  <c r="P26" i="3"/>
  <c r="P27" i="3"/>
  <c r="P29" i="3"/>
  <c r="P28" i="3"/>
  <c r="AG74" i="9"/>
  <c r="AP81" i="9"/>
  <c r="AP80" i="9"/>
  <c r="AM83" i="9"/>
  <c r="AM82" i="9"/>
  <c r="AM81" i="9"/>
  <c r="AH83" i="9"/>
  <c r="AH82" i="9"/>
  <c r="AH81" i="9"/>
  <c r="AN83" i="9"/>
  <c r="AN82" i="9"/>
  <c r="AN81" i="9"/>
  <c r="AI83" i="9"/>
  <c r="AI82" i="9"/>
  <c r="AI81" i="9"/>
  <c r="AR52" i="9"/>
  <c r="AN75" i="9"/>
  <c r="AN76" i="9"/>
  <c r="AN74" i="9"/>
  <c r="AM76" i="9"/>
  <c r="AM75" i="9"/>
  <c r="AM74" i="9"/>
  <c r="AI75" i="9"/>
  <c r="AI76" i="9"/>
  <c r="AI74" i="9"/>
  <c r="Q8" i="9"/>
  <c r="R8" i="9"/>
  <c r="AI52" i="9"/>
  <c r="AH76" i="9"/>
  <c r="AH75" i="9"/>
  <c r="AH74" i="9"/>
  <c r="AG76" i="9"/>
  <c r="AG75" i="9"/>
  <c r="AH51" i="9"/>
  <c r="AI51" i="9"/>
  <c r="R16" i="8"/>
  <c r="R4" i="8"/>
  <c r="R12" i="8"/>
  <c r="Q12" i="8"/>
  <c r="Q16" i="8"/>
  <c r="Q4" i="8"/>
  <c r="E4" i="8"/>
  <c r="P4" i="8" s="1"/>
  <c r="Z7" i="10"/>
  <c r="Z6" i="10"/>
  <c r="Z5" i="10"/>
  <c r="Z4" i="10"/>
  <c r="Y7" i="10"/>
  <c r="Y6" i="10"/>
  <c r="Y5" i="10"/>
  <c r="Y4" i="10"/>
  <c r="Q46" i="10"/>
  <c r="Q40" i="10"/>
  <c r="Q34" i="10"/>
  <c r="Q28" i="10"/>
  <c r="Q22" i="10"/>
  <c r="Q16" i="10"/>
  <c r="Q10" i="10"/>
  <c r="Q4" i="10"/>
  <c r="R4" i="10" s="1"/>
  <c r="N10" i="10"/>
  <c r="N4" i="10"/>
  <c r="N22" i="10"/>
  <c r="N16" i="10"/>
  <c r="P31" i="10" l="1"/>
  <c r="P33" i="10"/>
  <c r="AR51" i="9"/>
  <c r="AR50" i="9"/>
  <c r="AR49" i="9"/>
  <c r="AR48" i="9"/>
  <c r="R16" i="9"/>
  <c r="R12" i="9"/>
  <c r="R37" i="9"/>
  <c r="R33" i="9"/>
  <c r="R58" i="9"/>
  <c r="R54" i="9"/>
  <c r="R4" i="9"/>
  <c r="R25" i="9"/>
  <c r="AJ47" i="9"/>
  <c r="AQ50" i="9"/>
  <c r="AQ52" i="9"/>
  <c r="AQ48" i="9"/>
  <c r="AQ51" i="9"/>
  <c r="AQ49" i="9"/>
  <c r="AQ47" i="9"/>
  <c r="AH52" i="9"/>
  <c r="AH50" i="9"/>
  <c r="AH48" i="9"/>
  <c r="AH49" i="9"/>
  <c r="AH47" i="9"/>
  <c r="J10" i="8"/>
  <c r="P51" i="10" l="1"/>
  <c r="P50" i="10"/>
  <c r="P45" i="10"/>
  <c r="P44" i="10"/>
  <c r="P39" i="10"/>
  <c r="P38" i="10"/>
  <c r="P32" i="10"/>
  <c r="P28" i="10"/>
  <c r="P27" i="10"/>
  <c r="P26" i="10"/>
  <c r="P21" i="10"/>
  <c r="P20" i="10"/>
  <c r="P15" i="10"/>
  <c r="P14" i="10"/>
  <c r="P9" i="10"/>
  <c r="P8" i="10"/>
  <c r="F246" i="10"/>
  <c r="D245" i="10"/>
  <c r="E244" i="10" s="1"/>
  <c r="F244" i="10"/>
  <c r="D244" i="10"/>
  <c r="F241" i="10"/>
  <c r="D240" i="10"/>
  <c r="E239" i="10" s="1"/>
  <c r="F239" i="10"/>
  <c r="D239" i="10"/>
  <c r="F236" i="10"/>
  <c r="D235" i="10"/>
  <c r="E234" i="10" s="1"/>
  <c r="F234" i="10"/>
  <c r="D234" i="10"/>
  <c r="F231" i="10"/>
  <c r="D230" i="10"/>
  <c r="E229" i="10" s="1"/>
  <c r="F229" i="10"/>
  <c r="D229" i="10"/>
  <c r="F226" i="10"/>
  <c r="D225" i="10"/>
  <c r="E224" i="10" s="1"/>
  <c r="F224" i="10"/>
  <c r="D224" i="10"/>
  <c r="F221" i="10"/>
  <c r="D220" i="10"/>
  <c r="E219" i="10" s="1"/>
  <c r="F219" i="10"/>
  <c r="D219" i="10"/>
  <c r="F216" i="10"/>
  <c r="D215" i="10"/>
  <c r="E214" i="10" s="1"/>
  <c r="F214" i="10"/>
  <c r="D214" i="10"/>
  <c r="F211" i="10"/>
  <c r="D210" i="10"/>
  <c r="E209" i="10" s="1"/>
  <c r="F209" i="10"/>
  <c r="D209" i="10"/>
  <c r="P49" i="10"/>
  <c r="P48" i="10"/>
  <c r="P47" i="10"/>
  <c r="P43" i="10"/>
  <c r="P42" i="10"/>
  <c r="P41" i="10"/>
  <c r="P37" i="10"/>
  <c r="P36" i="10"/>
  <c r="P30" i="10"/>
  <c r="P25" i="10"/>
  <c r="P24" i="10"/>
  <c r="P19" i="10"/>
  <c r="P18" i="10"/>
  <c r="P13" i="10"/>
  <c r="P12" i="10"/>
  <c r="P6" i="10"/>
  <c r="P7" i="10"/>
  <c r="F205" i="10"/>
  <c r="D204" i="10"/>
  <c r="E203" i="10" s="1"/>
  <c r="F203" i="10"/>
  <c r="D203" i="10"/>
  <c r="F200" i="10"/>
  <c r="D199" i="10"/>
  <c r="E198" i="10" s="1"/>
  <c r="F198" i="10"/>
  <c r="D198" i="10"/>
  <c r="F195" i="10"/>
  <c r="D194" i="10"/>
  <c r="F193" i="10"/>
  <c r="E193" i="10"/>
  <c r="D193" i="10"/>
  <c r="F190" i="10"/>
  <c r="D189" i="10"/>
  <c r="E188" i="10" s="1"/>
  <c r="F188" i="10"/>
  <c r="D188" i="10"/>
  <c r="F185" i="10"/>
  <c r="D184" i="10"/>
  <c r="E183" i="10" s="1"/>
  <c r="F183" i="10"/>
  <c r="D183" i="10"/>
  <c r="F180" i="10"/>
  <c r="D179" i="10"/>
  <c r="E178" i="10" s="1"/>
  <c r="F178" i="10"/>
  <c r="D178" i="10"/>
  <c r="F175" i="10"/>
  <c r="D174" i="10"/>
  <c r="E173" i="10" s="1"/>
  <c r="F173" i="10"/>
  <c r="D173" i="10"/>
  <c r="F170" i="10"/>
  <c r="D169" i="10"/>
  <c r="E168" i="10" s="1"/>
  <c r="F168" i="10"/>
  <c r="D168" i="10"/>
  <c r="F164" i="10"/>
  <c r="D163" i="10"/>
  <c r="E162" i="10" s="1"/>
  <c r="F162" i="10"/>
  <c r="D162" i="10"/>
  <c r="F159" i="10"/>
  <c r="D158" i="10"/>
  <c r="E157" i="10" s="1"/>
  <c r="F157" i="10"/>
  <c r="D157" i="10"/>
  <c r="F154" i="10"/>
  <c r="D153" i="10"/>
  <c r="F152" i="10"/>
  <c r="E152" i="10"/>
  <c r="D152" i="10"/>
  <c r="F149" i="10"/>
  <c r="D148" i="10"/>
  <c r="E147" i="10" s="1"/>
  <c r="F147" i="10"/>
  <c r="D147" i="10"/>
  <c r="F144" i="10"/>
  <c r="D143" i="10"/>
  <c r="E142" i="10" s="1"/>
  <c r="F142" i="10"/>
  <c r="D142" i="10"/>
  <c r="F139" i="10"/>
  <c r="D138" i="10"/>
  <c r="E137" i="10" s="1"/>
  <c r="F137" i="10"/>
  <c r="D137" i="10"/>
  <c r="F134" i="10"/>
  <c r="D133" i="10"/>
  <c r="E132" i="10" s="1"/>
  <c r="F132" i="10"/>
  <c r="D132" i="10"/>
  <c r="F129" i="10"/>
  <c r="D128" i="10"/>
  <c r="E127" i="10" s="1"/>
  <c r="F127" i="10"/>
  <c r="D127" i="10"/>
  <c r="W4" i="10" l="1"/>
  <c r="W5" i="10"/>
  <c r="W6" i="10"/>
  <c r="R22" i="10"/>
  <c r="N46" i="10"/>
  <c r="N40" i="10"/>
  <c r="N34" i="10"/>
  <c r="N28" i="10"/>
  <c r="R46" i="10"/>
  <c r="R40" i="10"/>
  <c r="P46" i="10"/>
  <c r="P40" i="10"/>
  <c r="P35" i="10"/>
  <c r="P34" i="10"/>
  <c r="P29" i="10"/>
  <c r="P23" i="10"/>
  <c r="P22" i="10"/>
  <c r="P17" i="10"/>
  <c r="P16" i="10"/>
  <c r="E4" i="10"/>
  <c r="R34" i="10" l="1"/>
  <c r="P11" i="10"/>
  <c r="P10" i="10"/>
  <c r="P5" i="10"/>
  <c r="P4" i="10"/>
  <c r="X5" i="10" l="1"/>
  <c r="R28" i="10"/>
  <c r="X6" i="10"/>
  <c r="R16" i="10"/>
  <c r="X4" i="10"/>
  <c r="R10" i="10"/>
  <c r="F123" i="10" l="1"/>
  <c r="D122" i="10"/>
  <c r="E121" i="10" s="1"/>
  <c r="F121" i="10"/>
  <c r="D121" i="10"/>
  <c r="F118" i="10"/>
  <c r="D117" i="10"/>
  <c r="E116" i="10" s="1"/>
  <c r="F116" i="10"/>
  <c r="D116" i="10"/>
  <c r="F113" i="10"/>
  <c r="D112" i="10"/>
  <c r="E111" i="10" s="1"/>
  <c r="F111" i="10"/>
  <c r="D111" i="10"/>
  <c r="F108" i="10"/>
  <c r="D107" i="10"/>
  <c r="E106" i="10" s="1"/>
  <c r="F106" i="10"/>
  <c r="D106" i="10"/>
  <c r="F103" i="10"/>
  <c r="D102" i="10"/>
  <c r="E101" i="10" s="1"/>
  <c r="F101" i="10"/>
  <c r="D101" i="10"/>
  <c r="F98" i="10"/>
  <c r="D97" i="10"/>
  <c r="F96" i="10"/>
  <c r="E96" i="10"/>
  <c r="D96" i="10"/>
  <c r="F93" i="10"/>
  <c r="D92" i="10"/>
  <c r="E91" i="10" s="1"/>
  <c r="F91" i="10"/>
  <c r="D91" i="10"/>
  <c r="F88" i="10"/>
  <c r="D87" i="10"/>
  <c r="F86" i="10"/>
  <c r="E86" i="10"/>
  <c r="D86" i="10"/>
  <c r="F82" i="10"/>
  <c r="D81" i="10"/>
  <c r="E80" i="10" s="1"/>
  <c r="F80" i="10"/>
  <c r="D80" i="10"/>
  <c r="F77" i="10"/>
  <c r="D76" i="10"/>
  <c r="E75" i="10" s="1"/>
  <c r="F75" i="10"/>
  <c r="D75" i="10"/>
  <c r="F72" i="10"/>
  <c r="D71" i="10"/>
  <c r="E70" i="10" s="1"/>
  <c r="F70" i="10"/>
  <c r="D70" i="10"/>
  <c r="F67" i="10"/>
  <c r="D66" i="10"/>
  <c r="E65" i="10" s="1"/>
  <c r="F65" i="10"/>
  <c r="D65" i="10"/>
  <c r="F62" i="10"/>
  <c r="D61" i="10"/>
  <c r="E60" i="10" s="1"/>
  <c r="F60" i="10"/>
  <c r="D60" i="10"/>
  <c r="F57" i="10"/>
  <c r="D56" i="10"/>
  <c r="E55" i="10" s="1"/>
  <c r="F55" i="10"/>
  <c r="D55" i="10"/>
  <c r="F52" i="10"/>
  <c r="D51" i="10"/>
  <c r="E50" i="10" s="1"/>
  <c r="F50" i="10"/>
  <c r="D50" i="10"/>
  <c r="F47" i="10"/>
  <c r="D46" i="10"/>
  <c r="E45" i="10" s="1"/>
  <c r="F45" i="10"/>
  <c r="D45" i="10"/>
  <c r="F41" i="10"/>
  <c r="D40" i="10"/>
  <c r="E39" i="10" s="1"/>
  <c r="F39" i="10"/>
  <c r="D39" i="10"/>
  <c r="F36" i="10"/>
  <c r="D35" i="10"/>
  <c r="E34" i="10" s="1"/>
  <c r="F34" i="10"/>
  <c r="D34" i="10"/>
  <c r="F31" i="10"/>
  <c r="D30" i="10"/>
  <c r="E29" i="10" s="1"/>
  <c r="F29" i="10"/>
  <c r="D29" i="10"/>
  <c r="F26" i="10"/>
  <c r="D25" i="10"/>
  <c r="E24" i="10" s="1"/>
  <c r="F24" i="10"/>
  <c r="D24" i="10"/>
  <c r="F21" i="10"/>
  <c r="D20" i="10"/>
  <c r="E19" i="10" s="1"/>
  <c r="F19" i="10"/>
  <c r="D19" i="10"/>
  <c r="F16" i="10"/>
  <c r="D15" i="10"/>
  <c r="E14" i="10" s="1"/>
  <c r="F14" i="10"/>
  <c r="D14" i="10"/>
  <c r="F11" i="10"/>
  <c r="D10" i="10"/>
  <c r="E9" i="10" s="1"/>
  <c r="F9" i="10"/>
  <c r="D9" i="10"/>
  <c r="F6" i="10"/>
  <c r="D5" i="10"/>
  <c r="F4" i="10"/>
  <c r="D4" i="10"/>
  <c r="Q16" i="9" l="1"/>
  <c r="AR9" i="9"/>
  <c r="G4" i="7" l="1"/>
  <c r="Q12" i="9"/>
  <c r="AS49" i="9" l="1"/>
  <c r="AT51" i="9"/>
  <c r="AS51" i="9"/>
  <c r="AT47" i="9"/>
  <c r="AS47" i="9"/>
  <c r="AK51" i="9"/>
  <c r="AK49" i="9"/>
  <c r="AK47" i="9"/>
  <c r="AJ51" i="9"/>
  <c r="AJ49" i="9"/>
  <c r="Q120" i="9"/>
  <c r="Q116" i="9"/>
  <c r="Q112" i="9"/>
  <c r="Q108" i="9"/>
  <c r="Q100" i="9"/>
  <c r="Q96" i="9"/>
  <c r="Q92" i="9"/>
  <c r="Q88" i="9"/>
  <c r="Q79" i="9"/>
  <c r="Q75" i="9"/>
  <c r="Q71" i="9"/>
  <c r="R71" i="9" s="1"/>
  <c r="AI14" i="9" s="1"/>
  <c r="Q67" i="9"/>
  <c r="Q58" i="9"/>
  <c r="Q54" i="9"/>
  <c r="Q50" i="9"/>
  <c r="Q37" i="9"/>
  <c r="Q33" i="9"/>
  <c r="Q29" i="9"/>
  <c r="Q25" i="9"/>
  <c r="Q4" i="9"/>
  <c r="P122" i="9"/>
  <c r="P121" i="9"/>
  <c r="P120" i="9"/>
  <c r="P118" i="9"/>
  <c r="P117" i="9"/>
  <c r="P116" i="9"/>
  <c r="P114" i="9"/>
  <c r="P113" i="9"/>
  <c r="P112" i="9"/>
  <c r="P110" i="9"/>
  <c r="P109" i="9"/>
  <c r="P108" i="9"/>
  <c r="P102" i="9"/>
  <c r="P101" i="9"/>
  <c r="P100" i="9"/>
  <c r="P98" i="9"/>
  <c r="P97" i="9"/>
  <c r="P96" i="9"/>
  <c r="P94" i="9"/>
  <c r="P93" i="9"/>
  <c r="P92" i="9"/>
  <c r="P90" i="9"/>
  <c r="P89" i="9"/>
  <c r="P88" i="9"/>
  <c r="AR10" i="9"/>
  <c r="AI10" i="9"/>
  <c r="AI9" i="9"/>
  <c r="R37" i="8"/>
  <c r="R33" i="8"/>
  <c r="R29" i="8"/>
  <c r="R25" i="8"/>
  <c r="Q25" i="8"/>
  <c r="Q37" i="8"/>
  <c r="Q33" i="8"/>
  <c r="Q29" i="8"/>
  <c r="AT49" i="9" l="1"/>
  <c r="R116" i="9"/>
  <c r="AR15" i="9" s="1"/>
  <c r="R112" i="9"/>
  <c r="AI16" i="9" s="1"/>
  <c r="R120" i="9"/>
  <c r="AR16" i="9" s="1"/>
  <c r="R108" i="9"/>
  <c r="AI15" i="9" s="1"/>
  <c r="F384" i="9"/>
  <c r="D383" i="9"/>
  <c r="F382" i="9"/>
  <c r="E382" i="9"/>
  <c r="D382" i="9"/>
  <c r="F379" i="9"/>
  <c r="D378" i="9"/>
  <c r="E377" i="9" s="1"/>
  <c r="F377" i="9"/>
  <c r="D377" i="9"/>
  <c r="F374" i="9"/>
  <c r="D373" i="9"/>
  <c r="E372" i="9" s="1"/>
  <c r="F372" i="9"/>
  <c r="D372" i="9"/>
  <c r="F368" i="9"/>
  <c r="D367" i="9"/>
  <c r="E366" i="9" s="1"/>
  <c r="F366" i="9"/>
  <c r="D366" i="9"/>
  <c r="F363" i="9"/>
  <c r="D362" i="9"/>
  <c r="E361" i="9" s="1"/>
  <c r="F361" i="9"/>
  <c r="D361" i="9"/>
  <c r="F358" i="9"/>
  <c r="D357" i="9"/>
  <c r="E356" i="9" s="1"/>
  <c r="F356" i="9"/>
  <c r="D356" i="9"/>
  <c r="F352" i="9"/>
  <c r="D351" i="9"/>
  <c r="E350" i="9" s="1"/>
  <c r="F350" i="9"/>
  <c r="D350" i="9"/>
  <c r="F347" i="9"/>
  <c r="D346" i="9"/>
  <c r="E345" i="9" s="1"/>
  <c r="F345" i="9"/>
  <c r="D345" i="9"/>
  <c r="F342" i="9"/>
  <c r="D341" i="9"/>
  <c r="E340" i="9" s="1"/>
  <c r="F340" i="9"/>
  <c r="D340" i="9"/>
  <c r="F336" i="9"/>
  <c r="D335" i="9"/>
  <c r="E334" i="9" s="1"/>
  <c r="F334" i="9"/>
  <c r="D334" i="9"/>
  <c r="F331" i="9"/>
  <c r="D330" i="9"/>
  <c r="F329" i="9"/>
  <c r="E329" i="9"/>
  <c r="D329" i="9"/>
  <c r="F326" i="9"/>
  <c r="D325" i="9"/>
  <c r="E324" i="9" s="1"/>
  <c r="F324" i="9"/>
  <c r="D324" i="9"/>
  <c r="F320" i="9"/>
  <c r="D319" i="9"/>
  <c r="E318" i="9" s="1"/>
  <c r="F318" i="9"/>
  <c r="D318" i="9"/>
  <c r="F315" i="9"/>
  <c r="D314" i="9"/>
  <c r="E313" i="9" s="1"/>
  <c r="F313" i="9"/>
  <c r="D313" i="9"/>
  <c r="F310" i="9"/>
  <c r="D309" i="9"/>
  <c r="E308" i="9" s="1"/>
  <c r="F308" i="9"/>
  <c r="D308" i="9"/>
  <c r="F304" i="9"/>
  <c r="D303" i="9"/>
  <c r="E302" i="9" s="1"/>
  <c r="F302" i="9"/>
  <c r="D302" i="9"/>
  <c r="F299" i="9"/>
  <c r="D298" i="9"/>
  <c r="E297" i="9" s="1"/>
  <c r="F297" i="9"/>
  <c r="D297" i="9"/>
  <c r="F294" i="9"/>
  <c r="D293" i="9"/>
  <c r="E292" i="9" s="1"/>
  <c r="F292" i="9"/>
  <c r="D292" i="9"/>
  <c r="F288" i="9"/>
  <c r="D287" i="9"/>
  <c r="E286" i="9" s="1"/>
  <c r="F286" i="9"/>
  <c r="D286" i="9"/>
  <c r="F283" i="9"/>
  <c r="D282" i="9"/>
  <c r="E281" i="9" s="1"/>
  <c r="F281" i="9"/>
  <c r="D281" i="9"/>
  <c r="F278" i="9"/>
  <c r="D277" i="9"/>
  <c r="E276" i="9" s="1"/>
  <c r="F276" i="9"/>
  <c r="D276" i="9"/>
  <c r="F272" i="9"/>
  <c r="D271" i="9"/>
  <c r="E270" i="9" s="1"/>
  <c r="F270" i="9"/>
  <c r="D270" i="9"/>
  <c r="F267" i="9"/>
  <c r="D266" i="9"/>
  <c r="E265" i="9" s="1"/>
  <c r="F265" i="9"/>
  <c r="D265" i="9"/>
  <c r="F262" i="9"/>
  <c r="D261" i="9"/>
  <c r="E260" i="9" s="1"/>
  <c r="F260" i="9"/>
  <c r="D260" i="9"/>
  <c r="C228" i="9"/>
  <c r="D228" i="9" s="1"/>
  <c r="D191" i="9"/>
  <c r="E190" i="9" s="1"/>
  <c r="P18" i="9" s="1"/>
  <c r="D181" i="9"/>
  <c r="E180" i="9" s="1"/>
  <c r="P16" i="9" s="1"/>
  <c r="D186" i="9"/>
  <c r="E185" i="9" s="1"/>
  <c r="P17" i="9" s="1"/>
  <c r="D202" i="9"/>
  <c r="E201" i="9" s="1"/>
  <c r="P68" i="9" s="1"/>
  <c r="D201" i="9"/>
  <c r="D207" i="9"/>
  <c r="F198" i="9"/>
  <c r="D197" i="9"/>
  <c r="E196" i="9" s="1"/>
  <c r="P67" i="9" s="1"/>
  <c r="F196" i="9"/>
  <c r="D196" i="9"/>
  <c r="F256" i="9"/>
  <c r="D255" i="9"/>
  <c r="E254" i="9" s="1"/>
  <c r="F254" i="9"/>
  <c r="D254" i="9"/>
  <c r="F251" i="9"/>
  <c r="D250" i="9"/>
  <c r="E249" i="9" s="1"/>
  <c r="F249" i="9"/>
  <c r="D249" i="9"/>
  <c r="F246" i="9"/>
  <c r="D245" i="9"/>
  <c r="E244" i="9" s="1"/>
  <c r="P79" i="9" s="1"/>
  <c r="F244" i="9"/>
  <c r="D244" i="9"/>
  <c r="F240" i="9"/>
  <c r="D239" i="9"/>
  <c r="E238" i="9" s="1"/>
  <c r="F238" i="9"/>
  <c r="D238" i="9"/>
  <c r="F235" i="9"/>
  <c r="D234" i="9"/>
  <c r="E233" i="9" s="1"/>
  <c r="F233" i="9"/>
  <c r="D233" i="9"/>
  <c r="F230" i="9"/>
  <c r="D229" i="9"/>
  <c r="E228" i="9" s="1"/>
  <c r="P75" i="9" s="1"/>
  <c r="F224" i="9"/>
  <c r="D223" i="9"/>
  <c r="E222" i="9" s="1"/>
  <c r="F222" i="9"/>
  <c r="D222" i="9"/>
  <c r="F219" i="9"/>
  <c r="D218" i="9"/>
  <c r="E217" i="9" s="1"/>
  <c r="F217" i="9"/>
  <c r="D217" i="9"/>
  <c r="F214" i="9"/>
  <c r="D213" i="9"/>
  <c r="E212" i="9" s="1"/>
  <c r="P71" i="9" s="1"/>
  <c r="F212" i="9"/>
  <c r="D212" i="9"/>
  <c r="F208" i="9"/>
  <c r="E206" i="9"/>
  <c r="P69" i="9" s="1"/>
  <c r="F206" i="9"/>
  <c r="D206" i="9"/>
  <c r="F203" i="9"/>
  <c r="F201" i="9"/>
  <c r="F164" i="9"/>
  <c r="F166" i="9"/>
  <c r="D165" i="9"/>
  <c r="D164" i="9"/>
  <c r="F192" i="9"/>
  <c r="F190" i="9"/>
  <c r="D190" i="9"/>
  <c r="F187" i="9"/>
  <c r="F185" i="9"/>
  <c r="D185" i="9"/>
  <c r="F182" i="9"/>
  <c r="F180" i="9"/>
  <c r="D180" i="9"/>
  <c r="F176" i="9"/>
  <c r="D175" i="9"/>
  <c r="E174" i="9" s="1"/>
  <c r="P14" i="9" s="1"/>
  <c r="F174" i="9"/>
  <c r="D174" i="9"/>
  <c r="F171" i="9"/>
  <c r="D170" i="9"/>
  <c r="E169" i="9" s="1"/>
  <c r="P13" i="9" s="1"/>
  <c r="F169" i="9"/>
  <c r="D169" i="9"/>
  <c r="E164" i="9"/>
  <c r="P12" i="9" s="1"/>
  <c r="F160" i="9"/>
  <c r="D159" i="9"/>
  <c r="E158" i="9" s="1"/>
  <c r="P10" i="9" s="1"/>
  <c r="F158" i="9"/>
  <c r="D158" i="9"/>
  <c r="F155" i="9"/>
  <c r="D154" i="9"/>
  <c r="E153" i="9" s="1"/>
  <c r="P9" i="9" s="1"/>
  <c r="F153" i="9"/>
  <c r="D153" i="9"/>
  <c r="F150" i="9"/>
  <c r="D149" i="9"/>
  <c r="E148" i="9" s="1"/>
  <c r="P8" i="9" s="1"/>
  <c r="F148" i="9"/>
  <c r="D148" i="9"/>
  <c r="F144" i="9"/>
  <c r="D143" i="9"/>
  <c r="E142" i="9" s="1"/>
  <c r="P6" i="9" s="1"/>
  <c r="F142" i="9"/>
  <c r="D142" i="9"/>
  <c r="F139" i="9"/>
  <c r="D138" i="9"/>
  <c r="E137" i="9" s="1"/>
  <c r="P5" i="9" s="1"/>
  <c r="F137" i="9"/>
  <c r="D137" i="9"/>
  <c r="F134" i="9"/>
  <c r="D133" i="9"/>
  <c r="E132" i="9" s="1"/>
  <c r="P4" i="9" s="1"/>
  <c r="F132" i="9"/>
  <c r="D132" i="9"/>
  <c r="P56" i="9"/>
  <c r="P51" i="9"/>
  <c r="F128" i="9"/>
  <c r="D127" i="9"/>
  <c r="E126" i="9" s="1"/>
  <c r="P60" i="9" s="1"/>
  <c r="F126" i="9"/>
  <c r="D126" i="9"/>
  <c r="F123" i="9"/>
  <c r="D122" i="9"/>
  <c r="E121" i="9" s="1"/>
  <c r="P59" i="9" s="1"/>
  <c r="F121" i="9"/>
  <c r="D121" i="9"/>
  <c r="F118" i="9"/>
  <c r="D117" i="9"/>
  <c r="E116" i="9" s="1"/>
  <c r="P58" i="9" s="1"/>
  <c r="F116" i="9"/>
  <c r="D116" i="9"/>
  <c r="F112" i="9"/>
  <c r="D111" i="9"/>
  <c r="E110" i="9" s="1"/>
  <c r="F110" i="9"/>
  <c r="D110" i="9"/>
  <c r="F107" i="9"/>
  <c r="D106" i="9"/>
  <c r="E105" i="9" s="1"/>
  <c r="P55" i="9" s="1"/>
  <c r="F105" i="9"/>
  <c r="D105" i="9"/>
  <c r="F102" i="9"/>
  <c r="D101" i="9"/>
  <c r="F100" i="9"/>
  <c r="E100" i="9"/>
  <c r="P54" i="9" s="1"/>
  <c r="D100" i="9"/>
  <c r="F96" i="9"/>
  <c r="D95" i="9"/>
  <c r="E94" i="9" s="1"/>
  <c r="P52" i="9" s="1"/>
  <c r="F94" i="9"/>
  <c r="D94" i="9"/>
  <c r="F91" i="9"/>
  <c r="D90" i="9"/>
  <c r="E89" i="9" s="1"/>
  <c r="F89" i="9"/>
  <c r="D89" i="9"/>
  <c r="F86" i="9"/>
  <c r="D85" i="9"/>
  <c r="E84" i="9" s="1"/>
  <c r="P50" i="9" s="1"/>
  <c r="F84" i="9"/>
  <c r="D84" i="9"/>
  <c r="F80" i="9"/>
  <c r="D79" i="9"/>
  <c r="E78" i="9" s="1"/>
  <c r="F78" i="9"/>
  <c r="D78" i="9"/>
  <c r="F75" i="9"/>
  <c r="D74" i="9"/>
  <c r="E73" i="9" s="1"/>
  <c r="P47" i="9" s="1"/>
  <c r="F73" i="9"/>
  <c r="D73" i="9"/>
  <c r="F70" i="9"/>
  <c r="D69" i="9"/>
  <c r="E68" i="9" s="1"/>
  <c r="P46" i="9" s="1"/>
  <c r="F68" i="9"/>
  <c r="D68" i="9"/>
  <c r="F64" i="9"/>
  <c r="D63" i="9"/>
  <c r="E62" i="9" s="1"/>
  <c r="P39" i="9" s="1"/>
  <c r="F62" i="9"/>
  <c r="D62" i="9"/>
  <c r="F59" i="9"/>
  <c r="D58" i="9"/>
  <c r="E57" i="9" s="1"/>
  <c r="P38" i="9" s="1"/>
  <c r="F57" i="9"/>
  <c r="D57" i="9"/>
  <c r="F54" i="9"/>
  <c r="D53" i="9"/>
  <c r="E52" i="9" s="1"/>
  <c r="P37" i="9" s="1"/>
  <c r="F52" i="9"/>
  <c r="D52" i="9"/>
  <c r="D36" i="9"/>
  <c r="F36" i="9"/>
  <c r="D37" i="9"/>
  <c r="E36" i="9" s="1"/>
  <c r="P33" i="9" s="1"/>
  <c r="F38" i="9"/>
  <c r="D41" i="9"/>
  <c r="F41" i="9"/>
  <c r="D42" i="9"/>
  <c r="E41" i="9" s="1"/>
  <c r="P34" i="9" s="1"/>
  <c r="F43" i="9"/>
  <c r="D46" i="9"/>
  <c r="F46" i="9"/>
  <c r="D47" i="9"/>
  <c r="E46" i="9" s="1"/>
  <c r="P35" i="9" s="1"/>
  <c r="F48" i="9"/>
  <c r="F32" i="9"/>
  <c r="D31" i="9"/>
  <c r="E30" i="9" s="1"/>
  <c r="P31" i="9" s="1"/>
  <c r="F30" i="9"/>
  <c r="D30" i="9"/>
  <c r="F27" i="9"/>
  <c r="D26" i="9"/>
  <c r="E25" i="9" s="1"/>
  <c r="P30" i="9" s="1"/>
  <c r="F25" i="9"/>
  <c r="D25" i="9"/>
  <c r="F22" i="9"/>
  <c r="D21" i="9"/>
  <c r="E20" i="9" s="1"/>
  <c r="P29" i="9" s="1"/>
  <c r="F20" i="9"/>
  <c r="D20" i="9"/>
  <c r="F16" i="9"/>
  <c r="D15" i="9"/>
  <c r="E14" i="9" s="1"/>
  <c r="P27" i="9" s="1"/>
  <c r="F14" i="9"/>
  <c r="D14" i="9"/>
  <c r="F11" i="9"/>
  <c r="D10" i="9"/>
  <c r="E9" i="9" s="1"/>
  <c r="P26" i="9" s="1"/>
  <c r="F9" i="9"/>
  <c r="D9" i="9"/>
  <c r="F6" i="9"/>
  <c r="D5" i="9"/>
  <c r="E4" i="9" s="1"/>
  <c r="P25" i="9" s="1"/>
  <c r="F4" i="9"/>
  <c r="D4" i="9"/>
  <c r="AF13" i="7"/>
  <c r="AP8" i="8"/>
  <c r="AR8" i="8"/>
  <c r="AQ8" i="8"/>
  <c r="AP5" i="8"/>
  <c r="AO5" i="8"/>
  <c r="AN7" i="8"/>
  <c r="AN6" i="8"/>
  <c r="AN5" i="8"/>
  <c r="AG9" i="7"/>
  <c r="AF9" i="7"/>
  <c r="AE6" i="7"/>
  <c r="AD8" i="7"/>
  <c r="AD7" i="7"/>
  <c r="AD6" i="7"/>
  <c r="N28" i="7"/>
  <c r="N7" i="7"/>
  <c r="O5" i="7"/>
  <c r="N8" i="7"/>
  <c r="N6" i="7"/>
  <c r="E292" i="7"/>
  <c r="E287" i="7"/>
  <c r="E282" i="7"/>
  <c r="E277" i="7"/>
  <c r="E271" i="7"/>
  <c r="E266" i="7"/>
  <c r="E261" i="7"/>
  <c r="E256" i="7"/>
  <c r="E250" i="7"/>
  <c r="E245" i="7"/>
  <c r="E240" i="7"/>
  <c r="E235" i="7"/>
  <c r="E229" i="7"/>
  <c r="E224" i="7"/>
  <c r="E219" i="7"/>
  <c r="E214" i="7"/>
  <c r="E208" i="7"/>
  <c r="E203" i="7"/>
  <c r="E198" i="7"/>
  <c r="E193" i="7"/>
  <c r="E187" i="7"/>
  <c r="E182" i="7"/>
  <c r="E177" i="7"/>
  <c r="E172" i="7"/>
  <c r="E166" i="7"/>
  <c r="E161" i="7"/>
  <c r="E156" i="7"/>
  <c r="E151" i="7"/>
  <c r="E145" i="7"/>
  <c r="E140" i="7"/>
  <c r="E135" i="7"/>
  <c r="E130" i="7"/>
  <c r="E124" i="7"/>
  <c r="E119" i="7"/>
  <c r="E114" i="7"/>
  <c r="E109" i="7"/>
  <c r="E103" i="7"/>
  <c r="E98" i="7"/>
  <c r="E93" i="7"/>
  <c r="E88" i="7"/>
  <c r="E82" i="7"/>
  <c r="E77" i="7"/>
  <c r="E72" i="7"/>
  <c r="E67" i="7"/>
  <c r="E61" i="7"/>
  <c r="E56" i="7"/>
  <c r="E51" i="7"/>
  <c r="E46" i="7"/>
  <c r="E40" i="7"/>
  <c r="E35" i="7"/>
  <c r="E30" i="7"/>
  <c r="E25" i="7"/>
  <c r="E19" i="7"/>
  <c r="E14" i="7"/>
  <c r="E9" i="7"/>
  <c r="E4" i="7"/>
  <c r="F228" i="9" l="1"/>
  <c r="R100" i="9"/>
  <c r="AR12" i="9" s="1"/>
  <c r="R29" i="9"/>
  <c r="R50" i="9"/>
  <c r="P72" i="9"/>
  <c r="R67" i="9"/>
  <c r="AI13" i="9" s="1"/>
  <c r="P73" i="9"/>
  <c r="P76" i="9"/>
  <c r="R75" i="9" s="1"/>
  <c r="AR13" i="9" s="1"/>
  <c r="P77" i="9"/>
  <c r="R88" i="9"/>
  <c r="AI11" i="9" s="1"/>
  <c r="R92" i="9"/>
  <c r="AI12" i="9" s="1"/>
  <c r="R96" i="9"/>
  <c r="AR11" i="9" s="1"/>
  <c r="P80" i="9"/>
  <c r="R79" i="9" s="1"/>
  <c r="AR14" i="9" s="1"/>
  <c r="P81" i="9"/>
  <c r="F132" i="4"/>
  <c r="F127" i="4"/>
  <c r="F122" i="4"/>
  <c r="F117" i="4"/>
  <c r="E132" i="4"/>
  <c r="E122" i="4"/>
  <c r="E127" i="4"/>
  <c r="F168" i="8" l="1"/>
  <c r="D167" i="8"/>
  <c r="E166" i="8" s="1"/>
  <c r="P40" i="8" s="1"/>
  <c r="F166" i="8"/>
  <c r="D166" i="8"/>
  <c r="F163" i="8"/>
  <c r="D162" i="8"/>
  <c r="E161" i="8" s="1"/>
  <c r="P39" i="8" s="1"/>
  <c r="F161" i="8"/>
  <c r="D161" i="8"/>
  <c r="F158" i="8"/>
  <c r="D157" i="8"/>
  <c r="E156" i="8" s="1"/>
  <c r="P38" i="8" s="1"/>
  <c r="F156" i="8"/>
  <c r="D156" i="8"/>
  <c r="F153" i="8"/>
  <c r="D152" i="8"/>
  <c r="E151" i="8" s="1"/>
  <c r="P37" i="8" s="1"/>
  <c r="F151" i="8"/>
  <c r="D151" i="8"/>
  <c r="F147" i="8"/>
  <c r="D146" i="8"/>
  <c r="E145" i="8" s="1"/>
  <c r="P36" i="8" s="1"/>
  <c r="F145" i="8"/>
  <c r="D145" i="8"/>
  <c r="F142" i="8"/>
  <c r="D141" i="8"/>
  <c r="E140" i="8" s="1"/>
  <c r="P35" i="8" s="1"/>
  <c r="F140" i="8"/>
  <c r="D140" i="8"/>
  <c r="F137" i="8"/>
  <c r="D136" i="8"/>
  <c r="E135" i="8" s="1"/>
  <c r="P34" i="8" s="1"/>
  <c r="F135" i="8"/>
  <c r="D135" i="8"/>
  <c r="F132" i="8"/>
  <c r="D131" i="8"/>
  <c r="E130" i="8" s="1"/>
  <c r="P33" i="8" s="1"/>
  <c r="F130" i="8"/>
  <c r="D130" i="8"/>
  <c r="F126" i="8"/>
  <c r="D125" i="8"/>
  <c r="E124" i="8" s="1"/>
  <c r="P32" i="8" s="1"/>
  <c r="F124" i="8"/>
  <c r="D124" i="8"/>
  <c r="F121" i="8"/>
  <c r="D120" i="8"/>
  <c r="E119" i="8" s="1"/>
  <c r="P31" i="8" s="1"/>
  <c r="F119" i="8"/>
  <c r="D119" i="8"/>
  <c r="F116" i="8"/>
  <c r="D115" i="8"/>
  <c r="E114" i="8" s="1"/>
  <c r="P30" i="8" s="1"/>
  <c r="F114" i="8"/>
  <c r="D114" i="8"/>
  <c r="F111" i="8"/>
  <c r="D110" i="8"/>
  <c r="E109" i="8" s="1"/>
  <c r="P29" i="8" s="1"/>
  <c r="F109" i="8"/>
  <c r="D109" i="8"/>
  <c r="F105" i="8"/>
  <c r="D104" i="8"/>
  <c r="E103" i="8" s="1"/>
  <c r="P28" i="8" s="1"/>
  <c r="F103" i="8"/>
  <c r="D103" i="8"/>
  <c r="F100" i="8"/>
  <c r="D99" i="8"/>
  <c r="E98" i="8" s="1"/>
  <c r="P27" i="8" s="1"/>
  <c r="F98" i="8"/>
  <c r="D98" i="8"/>
  <c r="F95" i="8"/>
  <c r="D94" i="8"/>
  <c r="E93" i="8" s="1"/>
  <c r="P26" i="8" s="1"/>
  <c r="F93" i="8"/>
  <c r="D93" i="8"/>
  <c r="F90" i="8"/>
  <c r="D89" i="8"/>
  <c r="E88" i="8" s="1"/>
  <c r="P25" i="8" s="1"/>
  <c r="F88" i="8"/>
  <c r="D88" i="8"/>
  <c r="F84" i="8"/>
  <c r="D83" i="8"/>
  <c r="E82" i="8" s="1"/>
  <c r="P19" i="8" s="1"/>
  <c r="F82" i="8"/>
  <c r="D82" i="8"/>
  <c r="F79" i="8"/>
  <c r="D78" i="8"/>
  <c r="E77" i="8" s="1"/>
  <c r="P18" i="8" s="1"/>
  <c r="F77" i="8"/>
  <c r="D77" i="8"/>
  <c r="F74" i="8"/>
  <c r="D73" i="8"/>
  <c r="E72" i="8" s="1"/>
  <c r="P17" i="8" s="1"/>
  <c r="F72" i="8"/>
  <c r="D72" i="8"/>
  <c r="F69" i="8"/>
  <c r="D68" i="8"/>
  <c r="E67" i="8" s="1"/>
  <c r="P16" i="8" s="1"/>
  <c r="F67" i="8"/>
  <c r="D67" i="8"/>
  <c r="F63" i="8"/>
  <c r="D62" i="8"/>
  <c r="E61" i="8" s="1"/>
  <c r="P15" i="8" s="1"/>
  <c r="F61" i="8"/>
  <c r="D61" i="8"/>
  <c r="F58" i="8"/>
  <c r="D57" i="8"/>
  <c r="E56" i="8" s="1"/>
  <c r="P14" i="8" s="1"/>
  <c r="F56" i="8"/>
  <c r="D56" i="8"/>
  <c r="F53" i="8"/>
  <c r="D52" i="8"/>
  <c r="E51" i="8" s="1"/>
  <c r="P13" i="8" s="1"/>
  <c r="F51" i="8"/>
  <c r="D51" i="8"/>
  <c r="F48" i="8"/>
  <c r="D47" i="8"/>
  <c r="E46" i="8" s="1"/>
  <c r="F46" i="8"/>
  <c r="D46" i="8"/>
  <c r="F42" i="8"/>
  <c r="F40" i="8"/>
  <c r="F37" i="8"/>
  <c r="F35" i="8"/>
  <c r="F32" i="8"/>
  <c r="F30" i="8"/>
  <c r="F25" i="8"/>
  <c r="F27" i="8"/>
  <c r="D41" i="8"/>
  <c r="E40" i="8" s="1"/>
  <c r="D40" i="8"/>
  <c r="F21" i="8"/>
  <c r="F16" i="8"/>
  <c r="F6" i="8"/>
  <c r="D36" i="8"/>
  <c r="E35" i="8" s="1"/>
  <c r="P10" i="8" s="1"/>
  <c r="D35" i="8"/>
  <c r="D31" i="8"/>
  <c r="E30" i="8" s="1"/>
  <c r="D30" i="8"/>
  <c r="D26" i="8"/>
  <c r="D25" i="8"/>
  <c r="D20" i="8"/>
  <c r="E19" i="8" s="1"/>
  <c r="F19" i="8"/>
  <c r="D19" i="8"/>
  <c r="D15" i="8"/>
  <c r="E14" i="8" s="1"/>
  <c r="P6" i="8" s="1"/>
  <c r="F14" i="8"/>
  <c r="D14" i="8"/>
  <c r="F11" i="8"/>
  <c r="D10" i="8"/>
  <c r="E9" i="8" s="1"/>
  <c r="P5" i="8" s="1"/>
  <c r="F9" i="8"/>
  <c r="D9" i="8"/>
  <c r="D5" i="8"/>
  <c r="F4" i="8"/>
  <c r="D4" i="8"/>
  <c r="G117" i="4"/>
  <c r="D133" i="4"/>
  <c r="G132" i="4"/>
  <c r="D132" i="4"/>
  <c r="D128" i="4"/>
  <c r="G127" i="4"/>
  <c r="D127" i="4"/>
  <c r="D123" i="4"/>
  <c r="G122" i="4"/>
  <c r="D122" i="4"/>
  <c r="D118" i="4"/>
  <c r="E117" i="4" s="1"/>
  <c r="D117" i="4"/>
  <c r="F4" i="4"/>
  <c r="H4" i="4" s="1"/>
  <c r="L5" i="7"/>
  <c r="F21" i="7" l="1"/>
  <c r="F16" i="7"/>
  <c r="F6" i="7"/>
  <c r="F11" i="7"/>
  <c r="F9" i="7"/>
  <c r="F19" i="7"/>
  <c r="G19" i="7" s="1"/>
  <c r="H19" i="7" s="1"/>
  <c r="G14" i="7"/>
  <c r="H14" i="7" s="1"/>
  <c r="F14" i="7"/>
  <c r="G9" i="7"/>
  <c r="H9" i="7" s="1"/>
  <c r="F4" i="7"/>
  <c r="H4" i="7" s="1"/>
  <c r="H35" i="3"/>
  <c r="E35" i="3"/>
  <c r="E32" i="4"/>
  <c r="E27" i="4"/>
  <c r="E21" i="4"/>
  <c r="E16" i="4"/>
  <c r="E10" i="4"/>
  <c r="E5" i="4"/>
  <c r="C11" i="4"/>
  <c r="F9" i="4" s="1"/>
  <c r="Q27" i="7"/>
  <c r="Q26" i="7"/>
  <c r="P27" i="7"/>
  <c r="P26" i="7"/>
  <c r="O27" i="7"/>
  <c r="O26" i="7"/>
  <c r="N27" i="7"/>
  <c r="N26" i="7"/>
  <c r="D277" i="7"/>
  <c r="F108" i="4"/>
  <c r="F97" i="4"/>
  <c r="F86" i="4"/>
  <c r="F75" i="4"/>
  <c r="F64" i="4"/>
  <c r="F53" i="4"/>
  <c r="F42" i="4"/>
  <c r="F31" i="4"/>
  <c r="F20" i="4"/>
  <c r="F98" i="7"/>
  <c r="F93" i="7"/>
  <c r="F88" i="7"/>
  <c r="F82" i="7"/>
  <c r="F77" i="7"/>
  <c r="F72" i="7"/>
  <c r="F67" i="7"/>
  <c r="F61" i="7"/>
  <c r="F56" i="7"/>
  <c r="F51" i="7"/>
  <c r="F46" i="7"/>
  <c r="F40" i="7"/>
  <c r="F35" i="7"/>
  <c r="F30" i="7"/>
  <c r="F25" i="7"/>
  <c r="P29" i="7"/>
  <c r="P28" i="7"/>
  <c r="O29" i="7"/>
  <c r="C271" i="7"/>
  <c r="D271" i="7" s="1"/>
  <c r="D293" i="7"/>
  <c r="D292" i="7"/>
  <c r="D288" i="7"/>
  <c r="D287" i="7"/>
  <c r="D283" i="7"/>
  <c r="D282" i="7"/>
  <c r="D278" i="7"/>
  <c r="D272" i="7"/>
  <c r="D267" i="7"/>
  <c r="D266" i="7"/>
  <c r="D262" i="7"/>
  <c r="D261" i="7"/>
  <c r="D257" i="7"/>
  <c r="D256" i="7"/>
  <c r="D251" i="7"/>
  <c r="D250" i="7"/>
  <c r="D246" i="7"/>
  <c r="D245" i="7"/>
  <c r="D241" i="7"/>
  <c r="D240" i="7"/>
  <c r="D236" i="7"/>
  <c r="D235" i="7"/>
  <c r="D230" i="7"/>
  <c r="Q29" i="7" s="1"/>
  <c r="D229" i="7"/>
  <c r="D225" i="7"/>
  <c r="D224" i="7"/>
  <c r="D220" i="7"/>
  <c r="O28" i="7" s="1"/>
  <c r="D219" i="7"/>
  <c r="D215" i="7"/>
  <c r="N29" i="7" s="1"/>
  <c r="D214" i="7"/>
  <c r="D209" i="7"/>
  <c r="D208" i="7"/>
  <c r="D204" i="7"/>
  <c r="D203" i="7"/>
  <c r="D199" i="7"/>
  <c r="D198" i="7"/>
  <c r="D194" i="7"/>
  <c r="D193" i="7"/>
  <c r="D188" i="7"/>
  <c r="D187" i="7"/>
  <c r="D183" i="7"/>
  <c r="D182" i="7"/>
  <c r="D178" i="7"/>
  <c r="D177" i="7"/>
  <c r="D173" i="7"/>
  <c r="D172" i="7"/>
  <c r="D167" i="7"/>
  <c r="D166" i="7"/>
  <c r="D162" i="7"/>
  <c r="D161" i="7"/>
  <c r="D157" i="7"/>
  <c r="D156" i="7"/>
  <c r="D152" i="7"/>
  <c r="D151" i="7"/>
  <c r="Q28" i="7" l="1"/>
  <c r="L9" i="7" l="1"/>
  <c r="L7" i="7"/>
  <c r="Q9" i="7"/>
  <c r="D146" i="7"/>
  <c r="D145" i="7"/>
  <c r="D141" i="7"/>
  <c r="D140" i="7"/>
  <c r="D136" i="7"/>
  <c r="D135" i="7"/>
  <c r="D131" i="7"/>
  <c r="D130" i="7"/>
  <c r="D125" i="7"/>
  <c r="D124" i="7"/>
  <c r="D120" i="7"/>
  <c r="D119" i="7"/>
  <c r="D115" i="7"/>
  <c r="D114" i="7"/>
  <c r="D110" i="7"/>
  <c r="D109" i="7"/>
  <c r="D104" i="7"/>
  <c r="Q10" i="7" s="1"/>
  <c r="D103" i="7"/>
  <c r="D99" i="7"/>
  <c r="P9" i="7" s="1"/>
  <c r="D98" i="7"/>
  <c r="D94" i="7"/>
  <c r="O10" i="7" s="1"/>
  <c r="D93" i="7"/>
  <c r="D89" i="7"/>
  <c r="N10" i="7" s="1"/>
  <c r="D88" i="7"/>
  <c r="Q7" i="7"/>
  <c r="P8" i="7"/>
  <c r="D83" i="7"/>
  <c r="D82" i="7"/>
  <c r="D78" i="7"/>
  <c r="D77" i="7"/>
  <c r="D73" i="7"/>
  <c r="D72" i="7"/>
  <c r="D68" i="7"/>
  <c r="D67" i="7"/>
  <c r="D62" i="7"/>
  <c r="Q8" i="7" s="1"/>
  <c r="D61" i="7"/>
  <c r="D57" i="7"/>
  <c r="P7" i="7" s="1"/>
  <c r="D56" i="7"/>
  <c r="D52" i="7"/>
  <c r="O8" i="7" s="1"/>
  <c r="D51" i="7"/>
  <c r="D47" i="7"/>
  <c r="D46" i="7"/>
  <c r="D41" i="7"/>
  <c r="D40" i="7"/>
  <c r="D36" i="7"/>
  <c r="D35" i="7"/>
  <c r="D31" i="7"/>
  <c r="O6" i="7" s="1"/>
  <c r="D30" i="7"/>
  <c r="D26" i="7"/>
  <c r="D25" i="7"/>
  <c r="D20" i="7"/>
  <c r="Q6" i="7" s="1"/>
  <c r="D19" i="7"/>
  <c r="D15" i="7"/>
  <c r="P5" i="7" s="1"/>
  <c r="D14" i="7"/>
  <c r="D10" i="7"/>
  <c r="D9" i="7"/>
  <c r="D5" i="7"/>
  <c r="D4" i="7"/>
  <c r="G10" i="5"/>
  <c r="E4" i="5"/>
  <c r="E9" i="5"/>
  <c r="G83" i="3"/>
  <c r="G82" i="3"/>
  <c r="G72" i="3"/>
  <c r="G62" i="3"/>
  <c r="G61" i="3"/>
  <c r="G41" i="3"/>
  <c r="G40" i="3"/>
  <c r="G19" i="3"/>
  <c r="G20" i="3"/>
  <c r="E19" i="5"/>
  <c r="E14" i="5"/>
  <c r="W31" i="4"/>
  <c r="Q5" i="7" l="1"/>
  <c r="Q12" i="7"/>
  <c r="P12" i="7"/>
  <c r="P11" i="7"/>
  <c r="P6" i="7"/>
  <c r="N9" i="7"/>
  <c r="N12" i="7"/>
  <c r="O7" i="7"/>
  <c r="O9" i="7"/>
  <c r="O12" i="7"/>
  <c r="O11" i="7"/>
  <c r="P10" i="7"/>
  <c r="S7" i="4"/>
  <c r="S8" i="4"/>
  <c r="S14" i="4"/>
  <c r="S15" i="4"/>
  <c r="R7" i="4"/>
  <c r="R8" i="4"/>
  <c r="R14" i="4"/>
  <c r="R15" i="4"/>
  <c r="P15" i="4"/>
  <c r="Q14" i="4"/>
  <c r="P14" i="4"/>
  <c r="Q13" i="4"/>
  <c r="Q12" i="4"/>
  <c r="Q10" i="4"/>
  <c r="P9" i="4"/>
  <c r="Q8" i="4"/>
  <c r="P8" i="4"/>
  <c r="Q7" i="4"/>
  <c r="P7" i="4"/>
  <c r="P6" i="4"/>
  <c r="O8" i="4"/>
  <c r="O9" i="4"/>
  <c r="O10" i="4" s="1"/>
  <c r="O11" i="4" s="1"/>
  <c r="O12" i="4" s="1"/>
  <c r="O13" i="4" s="1"/>
  <c r="O14" i="4" s="1"/>
  <c r="O15" i="4" s="1"/>
  <c r="O7" i="4"/>
  <c r="D20" i="5"/>
  <c r="D19" i="5"/>
  <c r="D15" i="5"/>
  <c r="D14" i="5"/>
  <c r="D10" i="5"/>
  <c r="D9" i="5"/>
  <c r="D5" i="5"/>
  <c r="G4" i="5"/>
  <c r="F4" i="5"/>
  <c r="H4" i="5" s="1"/>
  <c r="I4" i="5" s="1"/>
  <c r="D4" i="5"/>
  <c r="D109" i="4"/>
  <c r="D108" i="4"/>
  <c r="D104" i="4"/>
  <c r="G103" i="4"/>
  <c r="F103" i="4"/>
  <c r="H103" i="4" s="1"/>
  <c r="I103" i="4" s="1"/>
  <c r="D103" i="4"/>
  <c r="D98" i="4"/>
  <c r="D97" i="4"/>
  <c r="D93" i="4"/>
  <c r="G92" i="4"/>
  <c r="F92" i="4"/>
  <c r="H92" i="4" s="1"/>
  <c r="I92" i="4" s="1"/>
  <c r="D92" i="4"/>
  <c r="D87" i="4"/>
  <c r="D86" i="4"/>
  <c r="D82" i="4"/>
  <c r="P13" i="4" s="1"/>
  <c r="G81" i="4"/>
  <c r="F81" i="4"/>
  <c r="H81" i="4" s="1"/>
  <c r="I81" i="4" s="1"/>
  <c r="D81" i="4"/>
  <c r="D76" i="4"/>
  <c r="D75" i="4"/>
  <c r="D71" i="4"/>
  <c r="P12" i="4" s="1"/>
  <c r="G70" i="4"/>
  <c r="F70" i="4"/>
  <c r="H70" i="4" s="1"/>
  <c r="I70" i="4" s="1"/>
  <c r="D70" i="4"/>
  <c r="D65" i="4"/>
  <c r="Q11" i="4" s="1"/>
  <c r="D64" i="4"/>
  <c r="D60" i="4"/>
  <c r="P11" i="4" s="1"/>
  <c r="H59" i="4"/>
  <c r="I59" i="4" s="1"/>
  <c r="G59" i="4"/>
  <c r="F59" i="4"/>
  <c r="D59" i="4"/>
  <c r="D54" i="4"/>
  <c r="D53" i="4"/>
  <c r="D49" i="4"/>
  <c r="P10" i="4" s="1"/>
  <c r="G48" i="4"/>
  <c r="F48" i="4"/>
  <c r="H48" i="4" s="1"/>
  <c r="I48" i="4" s="1"/>
  <c r="D48" i="4"/>
  <c r="D43" i="4"/>
  <c r="Q9" i="4" s="1"/>
  <c r="D42" i="4"/>
  <c r="D38" i="4"/>
  <c r="G37" i="4"/>
  <c r="F37" i="4"/>
  <c r="H37" i="4" s="1"/>
  <c r="I37" i="4" s="1"/>
  <c r="D37" i="4"/>
  <c r="D32" i="4"/>
  <c r="D31" i="4"/>
  <c r="D27" i="4"/>
  <c r="G26" i="4"/>
  <c r="F26" i="4"/>
  <c r="H26" i="4" s="1"/>
  <c r="I26" i="4" s="1"/>
  <c r="D26" i="4"/>
  <c r="D21" i="4"/>
  <c r="D20" i="4"/>
  <c r="D16" i="4"/>
  <c r="G15" i="4"/>
  <c r="F15" i="4"/>
  <c r="H15" i="4" s="1"/>
  <c r="I15" i="4" s="1"/>
  <c r="D15" i="4"/>
  <c r="D10" i="4"/>
  <c r="Q6" i="4" s="1"/>
  <c r="D9" i="4"/>
  <c r="D5" i="4"/>
  <c r="I4" i="4"/>
  <c r="D4" i="4"/>
  <c r="I35" i="3"/>
  <c r="S9" i="4" l="1"/>
  <c r="R9" i="4"/>
  <c r="S13" i="4"/>
  <c r="R13" i="4"/>
  <c r="R12" i="4"/>
  <c r="S12" i="4"/>
  <c r="S11" i="4"/>
  <c r="R11" i="4"/>
  <c r="S10" i="4"/>
  <c r="R10" i="4"/>
  <c r="R6" i="4"/>
  <c r="S6" i="4"/>
  <c r="G4" i="4"/>
  <c r="S29" i="3" l="1"/>
  <c r="R29" i="3"/>
  <c r="S27" i="3"/>
  <c r="R27" i="3"/>
  <c r="S28" i="3"/>
  <c r="R28" i="3"/>
  <c r="S26" i="3"/>
  <c r="R26" i="3"/>
  <c r="H83" i="3"/>
  <c r="I83" i="3" s="1"/>
  <c r="H82" i="3"/>
  <c r="I82" i="3" s="1"/>
  <c r="H62" i="3"/>
  <c r="I62" i="3" s="1"/>
  <c r="H61" i="3"/>
  <c r="I61" i="3" s="1"/>
  <c r="H41" i="3"/>
  <c r="I41" i="3" s="1"/>
  <c r="H40" i="3"/>
  <c r="I40" i="3" s="1"/>
  <c r="K19" i="3"/>
  <c r="J19" i="3"/>
  <c r="H14" i="3"/>
  <c r="I20" i="3"/>
  <c r="I19" i="3"/>
  <c r="H20" i="3"/>
  <c r="H19" i="3"/>
  <c r="M14" i="3"/>
  <c r="M15" i="3"/>
  <c r="K77" i="3"/>
  <c r="M77" i="3" s="1"/>
  <c r="H77" i="3"/>
  <c r="I77" i="3" s="1"/>
  <c r="K56" i="3"/>
  <c r="M56" i="3" s="1"/>
  <c r="H56" i="3"/>
  <c r="I56" i="3" s="1"/>
  <c r="K35" i="3"/>
  <c r="M35" i="3" s="1"/>
  <c r="K82" i="3" l="1"/>
  <c r="J82" i="3"/>
  <c r="K61" i="3"/>
  <c r="J61" i="3"/>
  <c r="K40" i="3"/>
  <c r="J40" i="3"/>
  <c r="N77" i="3"/>
  <c r="J77" i="3"/>
  <c r="L77" i="3" s="1"/>
  <c r="N56" i="3"/>
  <c r="J56" i="3"/>
  <c r="L56" i="3" s="1"/>
  <c r="N35" i="3"/>
  <c r="J35" i="3"/>
  <c r="L35" i="3" s="1"/>
  <c r="K14" i="3"/>
  <c r="O56" i="3" l="1"/>
  <c r="O14" i="3"/>
  <c r="E82" i="3" l="1"/>
  <c r="E77" i="3"/>
  <c r="E72" i="3"/>
  <c r="E67" i="3"/>
  <c r="E61" i="3"/>
  <c r="E56" i="3"/>
  <c r="E51" i="3"/>
  <c r="E46" i="3"/>
  <c r="E40" i="3"/>
  <c r="E30" i="3"/>
  <c r="E25" i="3"/>
  <c r="E19" i="3"/>
  <c r="E14" i="3"/>
  <c r="F14" i="3" s="1"/>
  <c r="H4" i="3"/>
  <c r="I4" i="3" s="1"/>
  <c r="E9" i="3"/>
  <c r="E4" i="3"/>
  <c r="D47" i="3"/>
  <c r="D52" i="3"/>
  <c r="E84" i="3"/>
  <c r="D83" i="3"/>
  <c r="D82" i="3"/>
  <c r="E79" i="3"/>
  <c r="D78" i="3"/>
  <c r="D77" i="3"/>
  <c r="E74" i="3"/>
  <c r="D73" i="3"/>
  <c r="D72" i="3"/>
  <c r="E69" i="3"/>
  <c r="D68" i="3"/>
  <c r="D67" i="3"/>
  <c r="E63" i="3"/>
  <c r="D62" i="3"/>
  <c r="D61" i="3"/>
  <c r="E58" i="3"/>
  <c r="D57" i="3"/>
  <c r="D56" i="3"/>
  <c r="E53" i="3"/>
  <c r="D51" i="3"/>
  <c r="E48" i="3"/>
  <c r="D46" i="3"/>
  <c r="E42" i="3"/>
  <c r="D41" i="3"/>
  <c r="D40" i="3"/>
  <c r="E37" i="3"/>
  <c r="D36" i="3"/>
  <c r="D35" i="3"/>
  <c r="E32" i="3"/>
  <c r="D31" i="3"/>
  <c r="D30" i="3"/>
  <c r="E27" i="3"/>
  <c r="D26" i="3"/>
  <c r="D25" i="3"/>
  <c r="E21" i="3"/>
  <c r="D20" i="3"/>
  <c r="D19" i="3"/>
  <c r="E16" i="3"/>
  <c r="D15" i="3"/>
  <c r="D14" i="3"/>
  <c r="E6" i="3"/>
  <c r="D5" i="3"/>
  <c r="D4" i="3"/>
  <c r="E11" i="3"/>
  <c r="D10" i="3"/>
  <c r="F4" i="3"/>
  <c r="D9" i="3"/>
  <c r="M8" i="1"/>
  <c r="L8" i="1"/>
  <c r="H6" i="2"/>
  <c r="M7" i="1"/>
  <c r="L7" i="1"/>
  <c r="M6" i="1"/>
  <c r="L6" i="1"/>
  <c r="L5" i="1"/>
  <c r="M5" i="1"/>
  <c r="C90" i="1"/>
  <c r="C80" i="1"/>
  <c r="C70" i="1"/>
  <c r="C60" i="1"/>
  <c r="C50" i="1"/>
  <c r="C40" i="1"/>
  <c r="C30" i="1"/>
  <c r="C20" i="1"/>
  <c r="C15" i="1"/>
  <c r="C45" i="1" s="1"/>
  <c r="D94" i="1"/>
  <c r="E62" i="2"/>
  <c r="E57" i="2"/>
  <c r="E52" i="2"/>
  <c r="E47" i="2"/>
  <c r="E42" i="2"/>
  <c r="E37" i="2"/>
  <c r="E32" i="2"/>
  <c r="E27" i="2"/>
  <c r="E22" i="2"/>
  <c r="E17" i="2"/>
  <c r="E12" i="2"/>
  <c r="E7" i="2"/>
  <c r="E5" i="2"/>
  <c r="E50" i="2"/>
  <c r="E45" i="2"/>
  <c r="E40" i="2"/>
  <c r="E35" i="2"/>
  <c r="E30" i="2"/>
  <c r="E25" i="2"/>
  <c r="E20" i="2"/>
  <c r="E15" i="2"/>
  <c r="E10" i="2"/>
  <c r="D101" i="2"/>
  <c r="E100" i="2" s="1"/>
  <c r="D100" i="2"/>
  <c r="D96" i="2"/>
  <c r="D95" i="2"/>
  <c r="E95" i="2" s="1"/>
  <c r="D91" i="2"/>
  <c r="E90" i="2" s="1"/>
  <c r="D90" i="2"/>
  <c r="D86" i="2"/>
  <c r="D85" i="2"/>
  <c r="E85" i="2" s="1"/>
  <c r="D81" i="2"/>
  <c r="E80" i="2"/>
  <c r="D80" i="2"/>
  <c r="D76" i="2"/>
  <c r="D75" i="2"/>
  <c r="E75" i="2" s="1"/>
  <c r="D71" i="2"/>
  <c r="D70" i="2"/>
  <c r="E70" i="2" s="1"/>
  <c r="D66" i="2"/>
  <c r="E65" i="2"/>
  <c r="D65" i="2"/>
  <c r="D61" i="2"/>
  <c r="E60" i="2" s="1"/>
  <c r="D60" i="2"/>
  <c r="D56" i="2"/>
  <c r="D55" i="2"/>
  <c r="E55" i="2" s="1"/>
  <c r="D51" i="2"/>
  <c r="D50" i="2"/>
  <c r="D46" i="2"/>
  <c r="D45" i="2"/>
  <c r="D41" i="2"/>
  <c r="D40" i="2"/>
  <c r="D36" i="2"/>
  <c r="D35" i="2"/>
  <c r="D31" i="2"/>
  <c r="D30" i="2"/>
  <c r="D26" i="2"/>
  <c r="D25" i="2"/>
  <c r="D21" i="2"/>
  <c r="D20" i="2"/>
  <c r="D16" i="2"/>
  <c r="D15" i="2"/>
  <c r="D11" i="2"/>
  <c r="D10" i="2"/>
  <c r="D6" i="2"/>
  <c r="D5" i="2"/>
  <c r="G89" i="1"/>
  <c r="G84" i="1"/>
  <c r="G79" i="1"/>
  <c r="G74" i="1"/>
  <c r="G69" i="1"/>
  <c r="G64" i="1"/>
  <c r="G59" i="1"/>
  <c r="G54" i="1"/>
  <c r="G49" i="1"/>
  <c r="G44" i="1"/>
  <c r="G14" i="1"/>
  <c r="G19" i="1"/>
  <c r="G24" i="1"/>
  <c r="G29" i="1"/>
  <c r="G34" i="1"/>
  <c r="G39" i="1"/>
  <c r="F90" i="1"/>
  <c r="F85" i="1"/>
  <c r="F80" i="1"/>
  <c r="F75" i="1"/>
  <c r="F4" i="1"/>
  <c r="F5" i="1"/>
  <c r="F9" i="1"/>
  <c r="F10" i="1"/>
  <c r="H5" i="1" s="1"/>
  <c r="F14" i="1"/>
  <c r="H14" i="1" s="1"/>
  <c r="F15" i="1"/>
  <c r="H15" i="1" s="1"/>
  <c r="F19" i="1"/>
  <c r="F20" i="1"/>
  <c r="I15" i="1" s="1"/>
  <c r="H4" i="1"/>
  <c r="I4" i="1"/>
  <c r="I5" i="1"/>
  <c r="I85" i="1"/>
  <c r="H85" i="1"/>
  <c r="I75" i="1"/>
  <c r="H75" i="1"/>
  <c r="I65" i="1"/>
  <c r="H65" i="1"/>
  <c r="I55" i="1"/>
  <c r="H55" i="1"/>
  <c r="I45" i="1"/>
  <c r="H45" i="1"/>
  <c r="I35" i="1"/>
  <c r="H35" i="1"/>
  <c r="I25" i="1"/>
  <c r="H25" i="1"/>
  <c r="I84" i="1"/>
  <c r="H84" i="1"/>
  <c r="I74" i="1"/>
  <c r="H74" i="1"/>
  <c r="I64" i="1"/>
  <c r="H64" i="1"/>
  <c r="I54" i="1"/>
  <c r="H54" i="1"/>
  <c r="I44" i="1"/>
  <c r="H44" i="1"/>
  <c r="I34" i="1"/>
  <c r="H34" i="1"/>
  <c r="I24" i="1"/>
  <c r="H24" i="1"/>
  <c r="I14" i="3" l="1"/>
  <c r="G46" i="3"/>
  <c r="F77" i="3"/>
  <c r="F67" i="3"/>
  <c r="H67" i="3" s="1"/>
  <c r="I67" i="3" s="1"/>
  <c r="G67" i="3"/>
  <c r="G77" i="3"/>
  <c r="F56" i="3"/>
  <c r="F46" i="3"/>
  <c r="H46" i="3" s="1"/>
  <c r="I46" i="3" s="1"/>
  <c r="G56" i="3"/>
  <c r="G35" i="3"/>
  <c r="F25" i="3"/>
  <c r="H25" i="3" s="1"/>
  <c r="I25" i="3" s="1"/>
  <c r="F35" i="3"/>
  <c r="G25" i="3"/>
  <c r="G14" i="3"/>
  <c r="C35" i="1"/>
  <c r="C55" i="1"/>
  <c r="C75" i="1"/>
  <c r="C25" i="1"/>
  <c r="C65" i="1"/>
  <c r="C85" i="1"/>
  <c r="G5" i="2"/>
  <c r="F5" i="2"/>
  <c r="G95" i="2"/>
  <c r="F95" i="2"/>
  <c r="F85" i="2"/>
  <c r="G85" i="2"/>
  <c r="F75" i="2"/>
  <c r="G75" i="2"/>
  <c r="G65" i="2"/>
  <c r="F65" i="2"/>
  <c r="F55" i="2"/>
  <c r="G55" i="2"/>
  <c r="F45" i="2"/>
  <c r="G45" i="2"/>
  <c r="G35" i="2"/>
  <c r="F35" i="2"/>
  <c r="F25" i="2"/>
  <c r="G25" i="2"/>
  <c r="F15" i="2"/>
  <c r="G15" i="2"/>
  <c r="I14" i="1"/>
  <c r="F89" i="1"/>
  <c r="F84" i="1"/>
  <c r="F79" i="1"/>
  <c r="F74" i="1"/>
  <c r="F70" i="1"/>
  <c r="F69" i="1"/>
  <c r="F65" i="1"/>
  <c r="F64" i="1"/>
  <c r="F60" i="1"/>
  <c r="F59" i="1"/>
  <c r="F55" i="1"/>
  <c r="F54" i="1"/>
  <c r="F50" i="1"/>
  <c r="F49" i="1"/>
  <c r="F45" i="1"/>
  <c r="F44" i="1"/>
  <c r="F40" i="1"/>
  <c r="F39" i="1"/>
  <c r="F35" i="1"/>
  <c r="F34" i="1"/>
  <c r="F30" i="1"/>
  <c r="F29" i="1"/>
  <c r="F25" i="1"/>
  <c r="F24" i="1"/>
  <c r="C6" i="2"/>
  <c r="J14" i="3" l="1"/>
  <c r="N14" i="3"/>
  <c r="P14" i="3"/>
  <c r="L14" i="3"/>
  <c r="G4" i="3"/>
  <c r="P56" i="3" l="1"/>
</calcChain>
</file>

<file path=xl/sharedStrings.xml><?xml version="1.0" encoding="utf-8"?>
<sst xmlns="http://schemas.openxmlformats.org/spreadsheetml/2006/main" count="3488" uniqueCount="433">
  <si>
    <t xml:space="preserve">No </t>
  </si>
  <si>
    <t xml:space="preserve">Area </t>
  </si>
  <si>
    <t>Time</t>
  </si>
  <si>
    <t>styrene</t>
  </si>
  <si>
    <t>standard</t>
  </si>
  <si>
    <t>styrene oxide</t>
  </si>
  <si>
    <t>Calibration 100% styrene A</t>
  </si>
  <si>
    <t>Calibration 100% styrene B</t>
  </si>
  <si>
    <t>Calibration 99% styrene A</t>
  </si>
  <si>
    <t>Calibration 99% styrene B</t>
  </si>
  <si>
    <t>Calibration 98% styrene A</t>
  </si>
  <si>
    <t>Calibration 98% styrene B</t>
  </si>
  <si>
    <t>Calibration 90% styrene A</t>
  </si>
  <si>
    <t>Calibration 90% styrene B</t>
  </si>
  <si>
    <t>Calibration 50% styrene A</t>
  </si>
  <si>
    <t>Calibration 50% styrene B</t>
  </si>
  <si>
    <t>Calibration 10% styrene A</t>
  </si>
  <si>
    <t>Calibration 10% styrene B</t>
  </si>
  <si>
    <t>Calibration 2% styrene A</t>
  </si>
  <si>
    <t>Calibration 2% styrene B</t>
  </si>
  <si>
    <t>Calibration 1% styrene A</t>
  </si>
  <si>
    <t>Calibration 1% styrene B</t>
  </si>
  <si>
    <t>Calibration 100% styrene oxide A</t>
  </si>
  <si>
    <t>Calibration 100% styrene oxide B</t>
  </si>
  <si>
    <t>Biotransformation1 free UPO B</t>
  </si>
  <si>
    <t>Biotransformation1 free UPO A</t>
  </si>
  <si>
    <t>Biotransformation1 free UPO C</t>
  </si>
  <si>
    <t>Biotransformation1 free UPO D</t>
  </si>
  <si>
    <t>Biotransformation1 prec UPO A</t>
  </si>
  <si>
    <t>Biotransformation1 prec UPO B</t>
  </si>
  <si>
    <t>Biotransformation1 prec UPO C</t>
  </si>
  <si>
    <t>Biotransformation1 prec UPO D</t>
  </si>
  <si>
    <t>Biotransformation1 free beads A</t>
  </si>
  <si>
    <t>Biotransformation1 free beads B</t>
  </si>
  <si>
    <t>Biotransformation1 free beads C</t>
  </si>
  <si>
    <t>Biotransformation1 free beads D</t>
  </si>
  <si>
    <t>Biotransformation1 w/o prec beads A</t>
  </si>
  <si>
    <t>Biotransformation1 w/o prec beads B</t>
  </si>
  <si>
    <t>Biotransformation1 w/o prec beads C</t>
  </si>
  <si>
    <t>Biotransformation1 w/o prec beads D</t>
  </si>
  <si>
    <t>Biotransformation1 pH6 beads A</t>
  </si>
  <si>
    <t>Biotransformation1 pH6 beads B</t>
  </si>
  <si>
    <t>Biotransformation1 pH6 beads C</t>
  </si>
  <si>
    <t>Biotransformation1 pH6 beads D</t>
  </si>
  <si>
    <t>Norm Area</t>
  </si>
  <si>
    <t>Average</t>
  </si>
  <si>
    <t>Percentage</t>
  </si>
  <si>
    <t>SD</t>
  </si>
  <si>
    <t xml:space="preserve">Conversion </t>
  </si>
  <si>
    <t xml:space="preserve">5uL injection volume </t>
  </si>
  <si>
    <t xml:space="preserve">Average standard area </t>
  </si>
  <si>
    <t>Conc</t>
  </si>
  <si>
    <t>Conc [mM]</t>
  </si>
  <si>
    <t>Neat Beads 1h A</t>
  </si>
  <si>
    <t>Neat Beads 1h B</t>
  </si>
  <si>
    <t>Neat Beads 2h A</t>
  </si>
  <si>
    <t>Neat Beads 2h B</t>
  </si>
  <si>
    <t>Neat UPO 1h A</t>
  </si>
  <si>
    <t>Neat UPO 1h B</t>
  </si>
  <si>
    <t>Neat UPO 2h A</t>
  </si>
  <si>
    <t>Neat UPO 2h B</t>
  </si>
  <si>
    <t>2LPS beads 1h A</t>
  </si>
  <si>
    <t>2LPS beads 1h B</t>
  </si>
  <si>
    <t>2LPS beads 2h A</t>
  </si>
  <si>
    <t>2LPS beads 2h B</t>
  </si>
  <si>
    <t>2LPS UPO 1h A</t>
  </si>
  <si>
    <t>2LPS UPO 1h B</t>
  </si>
  <si>
    <t>2LPS UPO 2h A</t>
  </si>
  <si>
    <t>2LPS UPO 2h B</t>
  </si>
  <si>
    <t>Styrene oxide [mM]</t>
  </si>
  <si>
    <t>Styrene oxide [g/L]</t>
  </si>
  <si>
    <t>conc per min [uM/min]</t>
  </si>
  <si>
    <t>UPO conc (mg/L)</t>
  </si>
  <si>
    <t>Activity UPO [umol/min/mg]</t>
  </si>
  <si>
    <t>Activity beads (umol/min/g)</t>
  </si>
  <si>
    <t>Beads conc (g/L)</t>
  </si>
  <si>
    <t>UPO conc [mM]</t>
  </si>
  <si>
    <t xml:space="preserve">TTN </t>
  </si>
  <si>
    <t>AVERAGE</t>
  </si>
  <si>
    <t>A1</t>
  </si>
  <si>
    <t>B1</t>
  </si>
  <si>
    <t>A2</t>
  </si>
  <si>
    <t>B2</t>
  </si>
  <si>
    <t>A3</t>
  </si>
  <si>
    <t>B3</t>
  </si>
  <si>
    <t>A4</t>
  </si>
  <si>
    <t>B4</t>
  </si>
  <si>
    <t>A5</t>
  </si>
  <si>
    <t>B5</t>
  </si>
  <si>
    <t>A6</t>
  </si>
  <si>
    <t>B6</t>
  </si>
  <si>
    <t>A7</t>
  </si>
  <si>
    <t>B7</t>
  </si>
  <si>
    <t>A8</t>
  </si>
  <si>
    <t>B8</t>
  </si>
  <si>
    <t>A9</t>
  </si>
  <si>
    <t>B9</t>
  </si>
  <si>
    <t>A10</t>
  </si>
  <si>
    <t>B10</t>
  </si>
  <si>
    <t>D1</t>
  </si>
  <si>
    <t>D2</t>
  </si>
  <si>
    <t>1mM</t>
  </si>
  <si>
    <t>2mM</t>
  </si>
  <si>
    <t>4mM</t>
  </si>
  <si>
    <t>8mM</t>
  </si>
  <si>
    <t xml:space="preserve">  nnnnnnnn m</t>
  </si>
  <si>
    <t>area A</t>
  </si>
  <si>
    <t>area B</t>
  </si>
  <si>
    <t>average</t>
  </si>
  <si>
    <t>styrene oxide conc [mM]</t>
  </si>
  <si>
    <t xml:space="preserve">F1 = UPO beads </t>
  </si>
  <si>
    <t xml:space="preserve">F2 = UPO beads </t>
  </si>
  <si>
    <t>IN THIS EXPERIMENT, NO STYRENE OXIDE PEAK WAS VISIBLE --&gt; THE HERE DESCRIBED PEAK IS THE WRONG ONE</t>
  </si>
  <si>
    <t>Normalized area</t>
  </si>
  <si>
    <t>1A - free UPO - 1h</t>
  </si>
  <si>
    <t>1A - free UPO - 2h</t>
  </si>
  <si>
    <t>1A - free UPO - 3h</t>
  </si>
  <si>
    <t>1A - free UPO - 4h</t>
  </si>
  <si>
    <t>1B - free UPO - 1h</t>
  </si>
  <si>
    <t>1B - free UPO - 2h</t>
  </si>
  <si>
    <t>1B - free UPO - 3h</t>
  </si>
  <si>
    <t>1B - free UPO - 4h</t>
  </si>
  <si>
    <t>Sample</t>
  </si>
  <si>
    <t>Name</t>
  </si>
  <si>
    <t>Av conc</t>
  </si>
  <si>
    <t>SD conc</t>
  </si>
  <si>
    <t>2A - precipitated UPO - 1h</t>
  </si>
  <si>
    <t>2A - precipitated UPO - 2h</t>
  </si>
  <si>
    <t>2A - precipitated UPO - 3h</t>
  </si>
  <si>
    <t>2A - precipitated UPO - 4h</t>
  </si>
  <si>
    <t>2B - precipitated UPO - 1h</t>
  </si>
  <si>
    <t>2B - precipitated UPO - 2h</t>
  </si>
  <si>
    <t>2B - precipitated UPO - 3h</t>
  </si>
  <si>
    <t>2B - precipitated UPO - 4h</t>
  </si>
  <si>
    <t>3A - aggregated UPO - 1h</t>
  </si>
  <si>
    <t>3A - aggregated UPO - 2h</t>
  </si>
  <si>
    <t>3A - aggregated UPO - 3h</t>
  </si>
  <si>
    <t>3A - aggregated UPO - 4h</t>
  </si>
  <si>
    <t>3B - aggregated UPO - 1h</t>
  </si>
  <si>
    <t>3B - aggregated UPO - 2h</t>
  </si>
  <si>
    <t>3B - aggregated UPO - 3h</t>
  </si>
  <si>
    <t>3B - aggregated UPO - 4h</t>
  </si>
  <si>
    <t>4A - encapsulated UPO - 1h</t>
  </si>
  <si>
    <t>4A - encapsulated UPO - 2h</t>
  </si>
  <si>
    <t>4A - encapsulated UPO - 3h</t>
  </si>
  <si>
    <t>4A - encapsulated UPO - 4h</t>
  </si>
  <si>
    <t>Enzyme conc [uM]</t>
  </si>
  <si>
    <t>4B - encapsulated UPO - 1h</t>
  </si>
  <si>
    <t>4B - encapsulated UPO - 2h</t>
  </si>
  <si>
    <t>4B - encapsulated UPO - 3h</t>
  </si>
  <si>
    <t>4B - encapsulated UPO - 4h</t>
  </si>
  <si>
    <t>5A - free UPO in beads - 1h</t>
  </si>
  <si>
    <t>5A - free UPO in beads - 2h</t>
  </si>
  <si>
    <t>5A - free UPO in beads - 3h</t>
  </si>
  <si>
    <t>5A - free UPO in beads - 4h</t>
  </si>
  <si>
    <t>5B - free UPO in beads - 1h</t>
  </si>
  <si>
    <t>5B - free UPO in beads - 2h</t>
  </si>
  <si>
    <t>5B - free UPO in beads - 3h</t>
  </si>
  <si>
    <t>5B - free UPO in beads - 4h</t>
  </si>
  <si>
    <t>6A - encapsulated UPO 0.1 g/L - 1h</t>
  </si>
  <si>
    <t>6A - encapsulated UPO 0.1 g/L - 2h</t>
  </si>
  <si>
    <t>6A - encapsulated UPO 0.1 g/L - 3h</t>
  </si>
  <si>
    <t>6A - encapsulated UPO 0.1 g/L - 4h</t>
  </si>
  <si>
    <t>6B - encapsulated UPO 0.1 g/L - 1h</t>
  </si>
  <si>
    <t>6B - encapsulated UPO 0.1 g/L - 2h</t>
  </si>
  <si>
    <t>6B - encapsulated UPO 0.1 g/L - 3h</t>
  </si>
  <si>
    <t>6B - encapsulated UPO 0.1 g/L - 4h</t>
  </si>
  <si>
    <t>7A - free UPO 0.1 g/L - 1h</t>
  </si>
  <si>
    <t>7A - free UPO 0.1 g/L - 2h</t>
  </si>
  <si>
    <t>7A - free UPO 0.1 g/L - 3h</t>
  </si>
  <si>
    <t>7A - free UPO 0.1 g/L - 4h</t>
  </si>
  <si>
    <t>Free UPO</t>
  </si>
  <si>
    <t>Beads with aggregated UPO</t>
  </si>
  <si>
    <t xml:space="preserve">Beads with free UPO </t>
  </si>
  <si>
    <t>7B - free UPO 0.1 g/L - 1h</t>
  </si>
  <si>
    <t>7B - free UPO 0.1 g/L - 2h</t>
  </si>
  <si>
    <t>7B - free UPO 0.1 g/L - 3h</t>
  </si>
  <si>
    <t>7B - free UPO 0.1 g/L - 4h</t>
  </si>
  <si>
    <t>Norm Area on standard</t>
  </si>
  <si>
    <t>Norm Area on styrene</t>
  </si>
  <si>
    <t>Conversion (Area comparison)</t>
  </si>
  <si>
    <t>CONFIRMATION</t>
  </si>
  <si>
    <t>500 mM</t>
  </si>
  <si>
    <t>50 mM</t>
  </si>
  <si>
    <t>5 mM</t>
  </si>
  <si>
    <t>5x 5 mM</t>
  </si>
  <si>
    <t>5uL injection volume, dilution in TBME 5:1000</t>
  </si>
  <si>
    <t>sample</t>
  </si>
  <si>
    <t>time</t>
  </si>
  <si>
    <t>A1 - beads 0.5 uM - 1h</t>
  </si>
  <si>
    <t>A1 - beads 0.5 uM - 1.5h</t>
  </si>
  <si>
    <t>A1 - beads 0.5 uM - 2h</t>
  </si>
  <si>
    <t>A2 - free UPO 0.5 uM - 0.5h</t>
  </si>
  <si>
    <t>A2 - free UPO 0.5 uM - 1h</t>
  </si>
  <si>
    <t>A2 - free UPO 0.5 uM - 1.5h</t>
  </si>
  <si>
    <t>A2 - free UPO 0.5 uM - 2h</t>
  </si>
  <si>
    <t>A3 - beads 0.25 uM - 1h</t>
  </si>
  <si>
    <t>A3 - beads 0.25 uM - 1.5h</t>
  </si>
  <si>
    <t>A3 - beads 0.25 uM - 2h</t>
  </si>
  <si>
    <t>A4 - free UPO 1 uM - 0.5h</t>
  </si>
  <si>
    <t>A4 - free UPO 1 uM - 1h</t>
  </si>
  <si>
    <t>A4 - free UPO 1 uM - 1.5h</t>
  </si>
  <si>
    <t>A4 - free UPO 1 uM - 2h</t>
  </si>
  <si>
    <t>4 x 1.25 mM tBuOOH over 1h</t>
  </si>
  <si>
    <t>B1 - beads 0.5 uM - 0.5h</t>
  </si>
  <si>
    <t>B1 - beads 0.5 uM - 1h</t>
  </si>
  <si>
    <t>B1 - beads 0.5 uM - 1.5h</t>
  </si>
  <si>
    <t>B1 - beads 0.5 uM - 2h</t>
  </si>
  <si>
    <t>norm area</t>
  </si>
  <si>
    <t>B2 - free UPO 0.5 uM - 0.5h</t>
  </si>
  <si>
    <t>B2 - free UPO 0.5 uM - 1h</t>
  </si>
  <si>
    <t>B2 - free UPO 0.5 uM - 1.5h</t>
  </si>
  <si>
    <t>B2 - free UPO 0.5 uM - 2h</t>
  </si>
  <si>
    <t>B3 - beads 0.25 uM - 0.5h</t>
  </si>
  <si>
    <t>B3 - beads 0.25 uM - 1h</t>
  </si>
  <si>
    <t>B3 - beads 0.25 uM - 1.5h</t>
  </si>
  <si>
    <t>B3 - beads 0.25 uM - 2h</t>
  </si>
  <si>
    <t>B4 - free UPO 1 uM - 0.5h</t>
  </si>
  <si>
    <t>B4 - free UPO 1 uM - 1h</t>
  </si>
  <si>
    <t>B4 - free UPO 1 uM - 1.5h</t>
  </si>
  <si>
    <t>B4 - free UPO 1 uM - 2h</t>
  </si>
  <si>
    <t>slope</t>
  </si>
  <si>
    <t>with off-set</t>
  </si>
  <si>
    <t>without off-set</t>
  </si>
  <si>
    <t>Precipitated enzyme</t>
  </si>
  <si>
    <t>Free enzyme</t>
  </si>
  <si>
    <t>Aggregated enzyme</t>
  </si>
  <si>
    <t>Encapsulated enzyme</t>
  </si>
  <si>
    <t>1 uM</t>
  </si>
  <si>
    <t>5 uM</t>
  </si>
  <si>
    <t>0.1 uM</t>
  </si>
  <si>
    <t>0.5 uM</t>
  </si>
  <si>
    <t xml:space="preserve">NC </t>
  </si>
  <si>
    <t>0.25 uM</t>
  </si>
  <si>
    <t>mM/h</t>
  </si>
  <si>
    <t>mM/h/uM enzyme</t>
  </si>
  <si>
    <t>Free enzyme 5 uM</t>
  </si>
  <si>
    <t>Aggregated enzyme 5 uM</t>
  </si>
  <si>
    <t>Precipitated enzyme 5 uM</t>
  </si>
  <si>
    <t>NC</t>
  </si>
  <si>
    <t>C1 - beads 0.5 uM - 0.5h</t>
  </si>
  <si>
    <t>C1</t>
  </si>
  <si>
    <t>C1 - beads 0.5 uM - 1h</t>
  </si>
  <si>
    <t>C1 - beads 0.5 uM - 1.5h</t>
  </si>
  <si>
    <t>C2 - free UPO 0.5 uM - 0.5h</t>
  </si>
  <si>
    <t>C2 - free UPO 0.5 uM - 1h</t>
  </si>
  <si>
    <t>C2 - free UPO 0.5 uM - 1.5h</t>
  </si>
  <si>
    <t>C4 - free UPO 0.5 uM - 0.5h</t>
  </si>
  <si>
    <t>C4 - free UPO 0.5 uM - 1h</t>
  </si>
  <si>
    <t>C4 - free UPO 0.5 uM - 1.5h</t>
  </si>
  <si>
    <t>C3 - free UPO 0.5 uM - 0.5h</t>
  </si>
  <si>
    <t>C3 - free UPO 0.5 uM - 1h</t>
  </si>
  <si>
    <t>C3 - free UPO 0.5 uM - 1.5h</t>
  </si>
  <si>
    <t>E1 - free UPO 0.5 uM - 0.5h</t>
  </si>
  <si>
    <t>E1 - free UPO 0.5 uM - 1h</t>
  </si>
  <si>
    <t>E1 - free UPO 0.5 uM - 1.5h</t>
  </si>
  <si>
    <t>E2 - free UPO 0.5 uM - 0.5h</t>
  </si>
  <si>
    <t>E2 - free UPO 0.5 uM - 1h</t>
  </si>
  <si>
    <t>E2 - free UPO 0.5 uM - 1.5h</t>
  </si>
  <si>
    <t>E3 - free UPO 0.5 uM - 0.5h</t>
  </si>
  <si>
    <t>E3 - free UPO 0.5 uM - 1h</t>
  </si>
  <si>
    <t>E3 - free UPO 0.5 uM - 1.5h</t>
  </si>
  <si>
    <t>E4 - free UPO 0.5 uM - 0.5h</t>
  </si>
  <si>
    <t>E4 - free UPO 0.5 uM - 1h</t>
  </si>
  <si>
    <t>E4 - free UPO 0.5 uM - 1.5h</t>
  </si>
  <si>
    <t>C2</t>
  </si>
  <si>
    <t>C3</t>
  </si>
  <si>
    <t>C4</t>
  </si>
  <si>
    <t>E1</t>
  </si>
  <si>
    <t>E2</t>
  </si>
  <si>
    <t>E3</t>
  </si>
  <si>
    <t>E4</t>
  </si>
  <si>
    <t>condition</t>
  </si>
  <si>
    <t>0.1 uM free</t>
  </si>
  <si>
    <t>0.1 uM beads</t>
  </si>
  <si>
    <t>0.05 uM beads</t>
  </si>
  <si>
    <t>30°C 4 x 1.25 mM tBuOOH over 1h</t>
  </si>
  <si>
    <t>RT 4 x 1.25 mM tBuOOH over 1h</t>
  </si>
  <si>
    <t>0.25 uM free</t>
  </si>
  <si>
    <t>40°C 4 x 1.25 mM tBuOOH over 1h</t>
  </si>
  <si>
    <t>D3</t>
  </si>
  <si>
    <t>D4</t>
  </si>
  <si>
    <t>D1 - free UPO 0.5 uM - 0.5h</t>
  </si>
  <si>
    <t>D1 - free UPO 0.5 uM - 1h</t>
  </si>
  <si>
    <t>D1 - free UPO 0.5 uM - 1.5h</t>
  </si>
  <si>
    <t>D2 - free UPO 0.5 uM - 0.5h</t>
  </si>
  <si>
    <t>D2 - free UPO 0.5 uM - 1h</t>
  </si>
  <si>
    <t>D2 - free UPO 0.5 uM - 1.5h</t>
  </si>
  <si>
    <t>D3 - free UPO 0.5 uM - 0.5h</t>
  </si>
  <si>
    <t>D3 - free UPO 0.5 uM - 1h</t>
  </si>
  <si>
    <t>D3 - free UPO 0.5 uM - 1.5h</t>
  </si>
  <si>
    <t>D4 - free UPO 0.5 uM - 0.5h</t>
  </si>
  <si>
    <t>D4 - free UPO 0.5 uM - 1h</t>
  </si>
  <si>
    <t>D4 - free UPO 0.5 uM - 1.5h</t>
  </si>
  <si>
    <t>slope [mM/h]</t>
  </si>
  <si>
    <t>TOF [1/h]</t>
  </si>
  <si>
    <t>G1 - free UPO 0.5 uM - 0.5h</t>
  </si>
  <si>
    <t>G2 - free UPO 0.5 uM - 1h</t>
  </si>
  <si>
    <t>G3 - free UPO 0.5 uM - 1.5h</t>
  </si>
  <si>
    <t>G1 - free UPO 0.5 uM - 1h</t>
  </si>
  <si>
    <t>G1 - free UPO 0.5 uM - 1.5h</t>
  </si>
  <si>
    <t>G2 - free UPO 0.5 uM - 0.5h</t>
  </si>
  <si>
    <t>G2 - free UPO 0.5 uM - 1.5h</t>
  </si>
  <si>
    <t>G3 - free UPO 0.5 uM - 0.5h</t>
  </si>
  <si>
    <t>G3 - free UPO 0.5 uM - 1h</t>
  </si>
  <si>
    <t>G4 - free UPO 0.5 uM - 0.5h</t>
  </si>
  <si>
    <t>G4 - free UPO 0.5 uM - 1h</t>
  </si>
  <si>
    <t>G4 - free UPO 0.5 uM - 1.5h</t>
  </si>
  <si>
    <t>RT 4 x 2.5 mM tBuOOH over 1h</t>
  </si>
  <si>
    <t>G1</t>
  </si>
  <si>
    <t>G2</t>
  </si>
  <si>
    <t>G3</t>
  </si>
  <si>
    <t>G4</t>
  </si>
  <si>
    <t>F1 - free UPO 0.5 uM - 0.5h</t>
  </si>
  <si>
    <t>F1 - free UPO 0.5 uM - 1h</t>
  </si>
  <si>
    <t>F1 - free UPO 0.5 uM - 1.5h</t>
  </si>
  <si>
    <t>H1 - free UPO 0.5 uM - 0.5h</t>
  </si>
  <si>
    <t>H1 - free UPO 0.5 uM - 1h</t>
  </si>
  <si>
    <t>H1 - free UPO 0.5 uM - 1.5h</t>
  </si>
  <si>
    <t>F2 - free UPO 0.5 uM - 0.5h</t>
  </si>
  <si>
    <t>F2 - free UPO 0.5 uM - 1h</t>
  </si>
  <si>
    <t>F2 - free UPO 0.5 uM - 1.5h</t>
  </si>
  <si>
    <t>F3 - free UPO 0.5 uM - 0.5h</t>
  </si>
  <si>
    <t>F3 - free UPO 0.5 uM - 1h</t>
  </si>
  <si>
    <t>F3 - free UPO 0.5 uM - 1.5h</t>
  </si>
  <si>
    <t>F4 - free UPO 0.5 uM - 0.5h</t>
  </si>
  <si>
    <t>F4 - free UPO 0.5 uM - 1h</t>
  </si>
  <si>
    <t>F4 - free UPO 0.5 uM - 1.5h</t>
  </si>
  <si>
    <t>H2 - free UPO 0.5 uM - 0.5h</t>
  </si>
  <si>
    <t>H2 - free UPO 0.5 uM - 1h</t>
  </si>
  <si>
    <t>H2 - free UPO 0.5 uM - 1.5h</t>
  </si>
  <si>
    <t>H3 - free UPO 0.5 uM - 0.5h</t>
  </si>
  <si>
    <t>H3 - free UPO 0.5 uM - 1h</t>
  </si>
  <si>
    <t>F1</t>
  </si>
  <si>
    <t>F2</t>
  </si>
  <si>
    <t>F3</t>
  </si>
  <si>
    <t>F4</t>
  </si>
  <si>
    <t>RT 1 x 5 mM tBuOOH over 1h</t>
  </si>
  <si>
    <t>H1</t>
  </si>
  <si>
    <t>H2</t>
  </si>
  <si>
    <t>H3</t>
  </si>
  <si>
    <t>H4</t>
  </si>
  <si>
    <t>Condition</t>
  </si>
  <si>
    <t>A</t>
  </si>
  <si>
    <t>B</t>
  </si>
  <si>
    <t>D</t>
  </si>
  <si>
    <t>E</t>
  </si>
  <si>
    <t>F</t>
  </si>
  <si>
    <t>H</t>
  </si>
  <si>
    <t>C</t>
  </si>
  <si>
    <t>G</t>
  </si>
  <si>
    <t>Temp</t>
  </si>
  <si>
    <t>RT</t>
  </si>
  <si>
    <t>30°C</t>
  </si>
  <si>
    <t>40°C</t>
  </si>
  <si>
    <t>[tBuOOH]</t>
  </si>
  <si>
    <t>4x1.25</t>
  </si>
  <si>
    <t>1x5</t>
  </si>
  <si>
    <t>4x2.5</t>
  </si>
  <si>
    <t>1x10</t>
  </si>
  <si>
    <t>FREE UPO</t>
  </si>
  <si>
    <t>BEADS</t>
  </si>
  <si>
    <t>tBuOOH [mM]</t>
  </si>
  <si>
    <t>UPO [uM]</t>
  </si>
  <si>
    <t>1 x 5 mM tBuOOH over 1h</t>
  </si>
  <si>
    <t>Saturation?</t>
  </si>
  <si>
    <t>*</t>
  </si>
  <si>
    <t>H4 - 1.5h</t>
  </si>
  <si>
    <t>H4 - 1h</t>
  </si>
  <si>
    <t>H4 - 0.5h</t>
  </si>
  <si>
    <t>H3 - 1.5h</t>
  </si>
  <si>
    <t>RT 1 x 10 mM tBuOOH over 1h</t>
  </si>
  <si>
    <t>A1 - big beads</t>
  </si>
  <si>
    <t>A2 - big beads</t>
  </si>
  <si>
    <t>B1 - small beads</t>
  </si>
  <si>
    <t>B2 - small beads</t>
  </si>
  <si>
    <t>C1 - middle beads</t>
  </si>
  <si>
    <t>C2 - middle beads</t>
  </si>
  <si>
    <t>D1 - free UPO</t>
  </si>
  <si>
    <t>D2 - free UPO</t>
  </si>
  <si>
    <t>30 min</t>
  </si>
  <si>
    <t xml:space="preserve">1 h </t>
  </si>
  <si>
    <t xml:space="preserve">A1 = big beads </t>
  </si>
  <si>
    <t>A2 = big beads</t>
  </si>
  <si>
    <t xml:space="preserve">B1 = small beads </t>
  </si>
  <si>
    <t>B2 = small beads</t>
  </si>
  <si>
    <t xml:space="preserve">C1 = middle beads </t>
  </si>
  <si>
    <t xml:space="preserve">C2 = middle beads </t>
  </si>
  <si>
    <t>D1 = free UPO</t>
  </si>
  <si>
    <t xml:space="preserve">D2 = free UPO </t>
  </si>
  <si>
    <t>styr [mM]</t>
  </si>
  <si>
    <t>big</t>
  </si>
  <si>
    <t>middle</t>
  </si>
  <si>
    <t>small</t>
  </si>
  <si>
    <t>Volume (mm3)</t>
  </si>
  <si>
    <t>Diameter (mm)</t>
  </si>
  <si>
    <t>mm3</t>
  </si>
  <si>
    <t>Average TOF (1/s)</t>
  </si>
  <si>
    <t>Act umol/min/gbeads</t>
  </si>
  <si>
    <t xml:space="preserve">1.5 h </t>
  </si>
  <si>
    <t xml:space="preserve">2 h </t>
  </si>
  <si>
    <t xml:space="preserve">18.5 h </t>
  </si>
  <si>
    <t xml:space="preserve">19.7 h </t>
  </si>
  <si>
    <t>Encapsulated enzyme 1 uM</t>
  </si>
  <si>
    <t>beads</t>
  </si>
  <si>
    <t>222mg</t>
  </si>
  <si>
    <t>111mg</t>
  </si>
  <si>
    <t>free</t>
  </si>
  <si>
    <t>3.9ul</t>
  </si>
  <si>
    <t>7.8ul</t>
  </si>
  <si>
    <t>CONC WITH FINAL IMM YIELD</t>
  </si>
  <si>
    <t>3 mm beads</t>
  </si>
  <si>
    <t>150 um nozzle</t>
  </si>
  <si>
    <t>100 um nozzle</t>
  </si>
  <si>
    <t>3 mm bead</t>
  </si>
  <si>
    <t>TOF (1/h)</t>
  </si>
  <si>
    <t>A3 - beads 0.5 uM - 0.5h</t>
  </si>
  <si>
    <t>A1 - beads 1 uM - 0.5h</t>
  </si>
  <si>
    <t>uM</t>
  </si>
  <si>
    <t>1 uM beads</t>
  </si>
  <si>
    <t>0.5 uM free</t>
  </si>
  <si>
    <t>0.5 uM beads</t>
  </si>
  <si>
    <t>1 uM free</t>
  </si>
  <si>
    <t>FOR PAPER</t>
  </si>
  <si>
    <t>UPO conc</t>
  </si>
  <si>
    <t>200 mg</t>
  </si>
  <si>
    <t>7.0 uL</t>
  </si>
  <si>
    <t>delta area /h</t>
  </si>
  <si>
    <t>area after 1.5h</t>
  </si>
  <si>
    <t>area/h</t>
  </si>
  <si>
    <t>area/h/g</t>
  </si>
  <si>
    <t>av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</si>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</sst>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0.000"/>
    <numFmt numFmtId="165" formatCode="0.0000000"/>
    <numFmt numFmtId="166" formatCode="0.0"/>
    <numFmt numFmtId="167" formatCode="0.0000"/>
    <numFmt numFmtId="168" formatCode="0.000000"/>
    <numFmt numFmtId="169" formatCode="0.000%"/>
    <numFmt numFmtId="170" formatCode="0.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2">
    <xf numFmtId="0" fontId="0" fillId="0" borderId="0" xfId="0"/>
    <xf numFmtId="0" fontId="0" fillId="2" borderId="0" xfId="0" applyFill="1"/>
    <xf numFmtId="2" fontId="0" fillId="0" borderId="0" xfId="0" applyNumberFormat="1"/>
    <xf numFmtId="10" fontId="0" fillId="0" borderId="0" xfId="1" applyNumberFormat="1" applyFont="1"/>
    <xf numFmtId="0" fontId="0" fillId="3" borderId="0" xfId="0" applyFill="1"/>
    <xf numFmtId="2" fontId="0" fillId="4" borderId="0" xfId="0" applyNumberFormat="1" applyFill="1"/>
    <xf numFmtId="0" fontId="0" fillId="0" borderId="0" xfId="0" applyBorder="1"/>
    <xf numFmtId="10" fontId="0" fillId="0" borderId="0" xfId="1" applyNumberFormat="1" applyFont="1" applyBorder="1"/>
    <xf numFmtId="2" fontId="0" fillId="0" borderId="0" xfId="0" applyNumberForma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10" fontId="0" fillId="0" borderId="4" xfId="1" applyNumberFormat="1" applyFont="1" applyBorder="1"/>
    <xf numFmtId="0" fontId="0" fillId="0" borderId="5" xfId="0" applyBorder="1"/>
    <xf numFmtId="0" fontId="0" fillId="0" borderId="4" xfId="0" applyBorder="1"/>
    <xf numFmtId="10" fontId="0" fillId="0" borderId="6" xfId="1" applyNumberFormat="1" applyFont="1" applyBorder="1"/>
    <xf numFmtId="0" fontId="0" fillId="0" borderId="7" xfId="0" applyBorder="1"/>
    <xf numFmtId="0" fontId="0" fillId="0" borderId="8" xfId="0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0" fillId="0" borderId="0" xfId="0" applyFill="1" applyBorder="1"/>
    <xf numFmtId="2" fontId="0" fillId="2" borderId="0" xfId="0" applyNumberFormat="1" applyFill="1"/>
    <xf numFmtId="10" fontId="0" fillId="0" borderId="5" xfId="1" applyNumberFormat="1" applyFont="1" applyBorder="1"/>
    <xf numFmtId="10" fontId="0" fillId="0" borderId="8" xfId="1" applyNumberFormat="1" applyFont="1" applyBorder="1"/>
    <xf numFmtId="0" fontId="0" fillId="0" borderId="1" xfId="0" applyFill="1" applyBorder="1"/>
    <xf numFmtId="0" fontId="0" fillId="0" borderId="3" xfId="0" applyFill="1" applyBorder="1"/>
    <xf numFmtId="0" fontId="0" fillId="0" borderId="6" xfId="0" applyBorder="1"/>
    <xf numFmtId="166" fontId="2" fillId="0" borderId="0" xfId="0" applyNumberFormat="1" applyFont="1" applyBorder="1"/>
    <xf numFmtId="0" fontId="0" fillId="0" borderId="2" xfId="0" applyFill="1" applyBorder="1"/>
    <xf numFmtId="165" fontId="2" fillId="0" borderId="0" xfId="0" applyNumberFormat="1" applyFont="1" applyBorder="1"/>
    <xf numFmtId="164" fontId="2" fillId="0" borderId="0" xfId="0" applyNumberFormat="1" applyFont="1" applyBorder="1"/>
    <xf numFmtId="164" fontId="0" fillId="0" borderId="0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0" xfId="2" applyNumberFormat="1" applyFont="1" applyBorder="1"/>
    <xf numFmtId="164" fontId="0" fillId="0" borderId="6" xfId="0" applyNumberFormat="1" applyBorder="1"/>
    <xf numFmtId="164" fontId="0" fillId="0" borderId="7" xfId="0" applyNumberFormat="1" applyBorder="1"/>
    <xf numFmtId="0" fontId="0" fillId="5" borderId="0" xfId="0" applyFill="1"/>
    <xf numFmtId="164" fontId="0" fillId="5" borderId="0" xfId="0" applyNumberFormat="1" applyFill="1"/>
    <xf numFmtId="164" fontId="0" fillId="5" borderId="5" xfId="0" applyNumberFormat="1" applyFill="1" applyBorder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1" xfId="0" applyFont="1" applyFill="1" applyBorder="1"/>
    <xf numFmtId="0" fontId="3" fillId="0" borderId="3" xfId="0" applyFont="1" applyFill="1" applyBorder="1"/>
    <xf numFmtId="2" fontId="3" fillId="0" borderId="4" xfId="0" applyNumberFormat="1" applyFont="1" applyBorder="1"/>
    <xf numFmtId="0" fontId="3" fillId="0" borderId="0" xfId="0" applyFont="1" applyBorder="1"/>
    <xf numFmtId="2" fontId="3" fillId="0" borderId="0" xfId="0" applyNumberFormat="1" applyFont="1" applyBorder="1"/>
    <xf numFmtId="10" fontId="3" fillId="0" borderId="0" xfId="1" applyNumberFormat="1" applyFont="1" applyBorder="1"/>
    <xf numFmtId="0" fontId="3" fillId="0" borderId="5" xfId="0" applyFont="1" applyBorder="1"/>
    <xf numFmtId="0" fontId="3" fillId="0" borderId="4" xfId="0" applyFont="1" applyBorder="1"/>
    <xf numFmtId="2" fontId="3" fillId="0" borderId="6" xfId="0" applyNumberFormat="1" applyFont="1" applyBorder="1"/>
    <xf numFmtId="0" fontId="3" fillId="0" borderId="7" xfId="0" applyFont="1" applyBorder="1"/>
    <xf numFmtId="10" fontId="3" fillId="0" borderId="8" xfId="1" applyNumberFormat="1" applyFont="1" applyBorder="1"/>
    <xf numFmtId="0" fontId="3" fillId="0" borderId="8" xfId="0" applyFont="1" applyBorder="1"/>
    <xf numFmtId="0" fontId="3" fillId="0" borderId="6" xfId="0" applyFont="1" applyBorder="1"/>
    <xf numFmtId="0" fontId="3" fillId="0" borderId="0" xfId="0" applyFont="1" applyFill="1" applyBorder="1"/>
    <xf numFmtId="0" fontId="2" fillId="0" borderId="0" xfId="0" applyFont="1" applyFill="1" applyBorder="1"/>
    <xf numFmtId="0" fontId="0" fillId="0" borderId="0" xfId="0" applyFill="1"/>
    <xf numFmtId="2" fontId="0" fillId="5" borderId="0" xfId="0" applyNumberFormat="1" applyFill="1"/>
    <xf numFmtId="167" fontId="0" fillId="5" borderId="0" xfId="0" applyNumberFormat="1" applyFill="1"/>
    <xf numFmtId="2" fontId="0" fillId="0" borderId="0" xfId="1" applyNumberFormat="1" applyFont="1" applyBorder="1"/>
    <xf numFmtId="0" fontId="0" fillId="2" borderId="0" xfId="0" applyFill="1" applyBorder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1" xfId="0" applyFont="1" applyFill="1" applyBorder="1"/>
    <xf numFmtId="0" fontId="2" fillId="0" borderId="3" xfId="0" applyFont="1" applyFill="1" applyBorder="1"/>
    <xf numFmtId="2" fontId="2" fillId="0" borderId="4" xfId="0" applyNumberFormat="1" applyFont="1" applyBorder="1"/>
    <xf numFmtId="0" fontId="2" fillId="0" borderId="0" xfId="0" applyFont="1" applyBorder="1"/>
    <xf numFmtId="2" fontId="2" fillId="0" borderId="0" xfId="0" applyNumberFormat="1" applyFont="1" applyBorder="1"/>
    <xf numFmtId="10" fontId="2" fillId="0" borderId="0" xfId="1" applyNumberFormat="1" applyFont="1" applyBorder="1"/>
    <xf numFmtId="0" fontId="2" fillId="0" borderId="5" xfId="0" applyFont="1" applyBorder="1"/>
    <xf numFmtId="2" fontId="2" fillId="0" borderId="6" xfId="0" applyNumberFormat="1" applyFont="1" applyBorder="1"/>
    <xf numFmtId="0" fontId="2" fillId="0" borderId="7" xfId="0" applyFont="1" applyBorder="1"/>
    <xf numFmtId="10" fontId="2" fillId="0" borderId="8" xfId="1" applyNumberFormat="1" applyFont="1" applyBorder="1"/>
    <xf numFmtId="0" fontId="2" fillId="2" borderId="0" xfId="0" applyFont="1" applyFill="1"/>
    <xf numFmtId="0" fontId="2" fillId="2" borderId="0" xfId="0" applyFont="1" applyFill="1" applyBorder="1"/>
    <xf numFmtId="0" fontId="2" fillId="0" borderId="2" xfId="0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0" fillId="0" borderId="7" xfId="0" applyFill="1" applyBorder="1"/>
    <xf numFmtId="0" fontId="0" fillId="0" borderId="8" xfId="0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0" xfId="0" applyFont="1" applyFill="1"/>
    <xf numFmtId="0" fontId="2" fillId="0" borderId="0" xfId="0" applyNumberFormat="1" applyFont="1" applyFill="1" applyBorder="1"/>
    <xf numFmtId="2" fontId="2" fillId="0" borderId="0" xfId="0" applyNumberFormat="1" applyFont="1" applyFill="1" applyBorder="1"/>
    <xf numFmtId="0" fontId="2" fillId="0" borderId="5" xfId="0" applyNumberFormat="1" applyFont="1" applyFill="1" applyBorder="1"/>
    <xf numFmtId="1" fontId="2" fillId="0" borderId="0" xfId="0" applyNumberFormat="1" applyFont="1" applyFill="1" applyBorder="1"/>
    <xf numFmtId="1" fontId="2" fillId="0" borderId="7" xfId="0" applyNumberFormat="1" applyFont="1" applyFill="1" applyBorder="1"/>
    <xf numFmtId="0" fontId="2" fillId="0" borderId="8" xfId="0" applyFont="1" applyFill="1" applyBorder="1"/>
    <xf numFmtId="168" fontId="0" fillId="0" borderId="0" xfId="0" applyNumberFormat="1" applyBorder="1"/>
    <xf numFmtId="44" fontId="0" fillId="0" borderId="5" xfId="2" applyFont="1" applyBorder="1"/>
    <xf numFmtId="167" fontId="0" fillId="0" borderId="5" xfId="0" applyNumberFormat="1" applyBorder="1"/>
    <xf numFmtId="169" fontId="2" fillId="0" borderId="0" xfId="1" applyNumberFormat="1" applyFont="1"/>
    <xf numFmtId="0" fontId="0" fillId="6" borderId="0" xfId="0" applyFill="1"/>
    <xf numFmtId="44" fontId="0" fillId="0" borderId="0" xfId="1" applyNumberFormat="1" applyFont="1" applyBorder="1"/>
    <xf numFmtId="10" fontId="2" fillId="0" borderId="0" xfId="1" applyNumberFormat="1" applyFont="1"/>
    <xf numFmtId="0" fontId="2" fillId="7" borderId="0" xfId="0" applyFont="1" applyFill="1" applyBorder="1"/>
    <xf numFmtId="164" fontId="2" fillId="7" borderId="0" xfId="0" applyNumberFormat="1" applyFont="1" applyFill="1" applyBorder="1"/>
    <xf numFmtId="0" fontId="2" fillId="8" borderId="0" xfId="0" applyFont="1" applyFill="1" applyBorder="1"/>
    <xf numFmtId="164" fontId="2" fillId="8" borderId="0" xfId="0" applyNumberFormat="1" applyFont="1" applyFill="1" applyBorder="1"/>
    <xf numFmtId="0" fontId="4" fillId="3" borderId="0" xfId="0" applyFont="1" applyFill="1" applyBorder="1"/>
    <xf numFmtId="164" fontId="0" fillId="0" borderId="0" xfId="0" applyNumberFormat="1" applyFill="1" applyBorder="1"/>
    <xf numFmtId="0" fontId="2" fillId="5" borderId="0" xfId="0" applyFont="1" applyFill="1"/>
    <xf numFmtId="0" fontId="2" fillId="5" borderId="0" xfId="0" applyFont="1" applyFill="1" applyBorder="1"/>
    <xf numFmtId="2" fontId="2" fillId="5" borderId="0" xfId="0" applyNumberFormat="1" applyFont="1" applyFill="1" applyBorder="1"/>
    <xf numFmtId="0" fontId="2" fillId="5" borderId="0" xfId="0" applyNumberFormat="1" applyFont="1" applyFill="1" applyBorder="1"/>
    <xf numFmtId="166" fontId="0" fillId="0" borderId="0" xfId="0" applyNumberFormat="1" applyFill="1" applyBorder="1"/>
    <xf numFmtId="166" fontId="4" fillId="3" borderId="0" xfId="0" applyNumberFormat="1" applyFont="1" applyFill="1" applyBorder="1"/>
    <xf numFmtId="166" fontId="0" fillId="0" borderId="0" xfId="0" applyNumberFormat="1"/>
    <xf numFmtId="0" fontId="2" fillId="0" borderId="0" xfId="0" applyFont="1" applyFill="1" applyBorder="1" applyAlignment="1"/>
    <xf numFmtId="0" fontId="4" fillId="3" borderId="0" xfId="0" applyFont="1" applyFill="1" applyBorder="1" applyAlignment="1"/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2" fontId="2" fillId="7" borderId="0" xfId="0" applyNumberFormat="1" applyFont="1" applyFill="1" applyBorder="1"/>
    <xf numFmtId="1" fontId="2" fillId="7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49" fontId="2" fillId="7" borderId="0" xfId="0" applyNumberFormat="1" applyFont="1" applyFill="1" applyBorder="1"/>
    <xf numFmtId="49" fontId="2" fillId="0" borderId="0" xfId="0" applyNumberFormat="1" applyFont="1" applyFill="1" applyBorder="1"/>
    <xf numFmtId="2" fontId="2" fillId="8" borderId="0" xfId="0" applyNumberFormat="1" applyFont="1" applyFill="1" applyBorder="1"/>
    <xf numFmtId="1" fontId="2" fillId="8" borderId="0" xfId="0" applyNumberFormat="1" applyFont="1" applyFill="1" applyBorder="1"/>
    <xf numFmtId="0" fontId="2" fillId="8" borderId="0" xfId="0" applyFont="1" applyFill="1" applyAlignment="1">
      <alignment horizontal="center"/>
    </xf>
    <xf numFmtId="1" fontId="0" fillId="7" borderId="0" xfId="0" applyNumberFormat="1" applyFill="1" applyAlignment="1">
      <alignment horizontal="center"/>
    </xf>
    <xf numFmtId="1" fontId="0" fillId="8" borderId="0" xfId="0" applyNumberFormat="1" applyFill="1" applyAlignment="1">
      <alignment horizontal="center"/>
    </xf>
    <xf numFmtId="0" fontId="0" fillId="8" borderId="0" xfId="0" applyFill="1" applyAlignment="1">
      <alignment horizontal="center"/>
    </xf>
    <xf numFmtId="0" fontId="0" fillId="0" borderId="0" xfId="0" applyFill="1" applyBorder="1" applyAlignment="1"/>
    <xf numFmtId="0" fontId="0" fillId="0" borderId="0" xfId="0" applyAlignment="1"/>
    <xf numFmtId="1" fontId="0" fillId="0" borderId="0" xfId="0" applyNumberFormat="1"/>
    <xf numFmtId="1" fontId="0" fillId="0" borderId="0" xfId="0" applyNumberFormat="1" applyFill="1" applyBorder="1"/>
    <xf numFmtId="1" fontId="4" fillId="3" borderId="0" xfId="0" applyNumberFormat="1" applyFont="1" applyFill="1" applyBorder="1"/>
    <xf numFmtId="167" fontId="0" fillId="0" borderId="0" xfId="0" applyNumberFormat="1"/>
    <xf numFmtId="0" fontId="0" fillId="9" borderId="0" xfId="0" applyFill="1"/>
    <xf numFmtId="0" fontId="2" fillId="9" borderId="0" xfId="0" applyFont="1" applyFill="1" applyBorder="1"/>
    <xf numFmtId="0" fontId="5" fillId="0" borderId="0" xfId="0" applyFont="1"/>
    <xf numFmtId="0" fontId="3" fillId="8" borderId="0" xfId="0" applyFont="1" applyFill="1" applyBorder="1"/>
    <xf numFmtId="164" fontId="3" fillId="8" borderId="0" xfId="0" applyNumberFormat="1" applyFont="1" applyFill="1" applyBorder="1"/>
    <xf numFmtId="0" fontId="3" fillId="7" borderId="0" xfId="0" applyFont="1" applyFill="1" applyBorder="1"/>
    <xf numFmtId="164" fontId="3" fillId="7" borderId="0" xfId="0" applyNumberFormat="1" applyFont="1" applyFill="1" applyBorder="1"/>
    <xf numFmtId="9" fontId="2" fillId="0" borderId="0" xfId="1" applyFont="1" applyFill="1" applyBorder="1"/>
    <xf numFmtId="0" fontId="0" fillId="9" borderId="1" xfId="0" applyFill="1" applyBorder="1"/>
    <xf numFmtId="0" fontId="0" fillId="9" borderId="2" xfId="0" applyFill="1" applyBorder="1"/>
    <xf numFmtId="0" fontId="0" fillId="9" borderId="3" xfId="0" applyFill="1" applyBorder="1"/>
    <xf numFmtId="2" fontId="2" fillId="7" borderId="4" xfId="0" applyNumberFormat="1" applyFont="1" applyFill="1" applyBorder="1"/>
    <xf numFmtId="1" fontId="2" fillId="7" borderId="5" xfId="0" applyNumberFormat="1" applyFont="1" applyFill="1" applyBorder="1"/>
    <xf numFmtId="2" fontId="2" fillId="8" borderId="4" xfId="0" applyNumberFormat="1" applyFont="1" applyFill="1" applyBorder="1"/>
    <xf numFmtId="1" fontId="2" fillId="8" borderId="5" xfId="0" applyNumberFormat="1" applyFont="1" applyFill="1" applyBorder="1"/>
    <xf numFmtId="0" fontId="2" fillId="7" borderId="6" xfId="0" applyFont="1" applyFill="1" applyBorder="1"/>
    <xf numFmtId="0" fontId="2" fillId="7" borderId="7" xfId="0" applyFont="1" applyFill="1" applyBorder="1"/>
    <xf numFmtId="164" fontId="2" fillId="7" borderId="7" xfId="0" applyNumberFormat="1" applyFont="1" applyFill="1" applyBorder="1"/>
    <xf numFmtId="1" fontId="2" fillId="7" borderId="8" xfId="0" applyNumberFormat="1" applyFont="1" applyFill="1" applyBorder="1"/>
    <xf numFmtId="0" fontId="2" fillId="9" borderId="1" xfId="0" applyFont="1" applyFill="1" applyBorder="1"/>
    <xf numFmtId="0" fontId="2" fillId="9" borderId="2" xfId="0" applyNumberFormat="1" applyFont="1" applyFill="1" applyBorder="1"/>
    <xf numFmtId="0" fontId="2" fillId="5" borderId="5" xfId="0" applyNumberFormat="1" applyFont="1" applyFill="1" applyBorder="1"/>
    <xf numFmtId="0" fontId="2" fillId="5" borderId="0" xfId="0" applyFont="1" applyFill="1" applyBorder="1" applyAlignment="1">
      <alignment horizontal="center"/>
    </xf>
    <xf numFmtId="166" fontId="2" fillId="8" borderId="0" xfId="0" applyNumberFormat="1" applyFont="1" applyFill="1" applyBorder="1" applyAlignment="1">
      <alignment horizontal="center" vertical="center"/>
    </xf>
    <xf numFmtId="166" fontId="2" fillId="7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 vertical="center"/>
    </xf>
    <xf numFmtId="166" fontId="3" fillId="7" borderId="0" xfId="0" applyNumberFormat="1" applyFont="1" applyFill="1" applyBorder="1" applyAlignment="1">
      <alignment horizontal="center" vertical="center"/>
    </xf>
    <xf numFmtId="166" fontId="3" fillId="8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2" fontId="2" fillId="7" borderId="0" xfId="0" applyNumberFormat="1" applyFont="1" applyFill="1" applyBorder="1" applyAlignment="1">
      <alignment horizontal="center" vertical="center"/>
    </xf>
    <xf numFmtId="1" fontId="2" fillId="7" borderId="0" xfId="0" applyNumberFormat="1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 wrapText="1"/>
    </xf>
    <xf numFmtId="2" fontId="2" fillId="8" borderId="0" xfId="0" applyNumberFormat="1" applyFont="1" applyFill="1" applyBorder="1" applyAlignment="1">
      <alignment horizontal="center" vertical="center"/>
    </xf>
    <xf numFmtId="1" fontId="2" fillId="8" borderId="0" xfId="0" applyNumberFormat="1" applyFont="1" applyFill="1" applyBorder="1" applyAlignment="1">
      <alignment horizontal="center" vertical="center"/>
    </xf>
    <xf numFmtId="165" fontId="2" fillId="7" borderId="0" xfId="0" applyNumberFormat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170" fontId="2" fillId="5" borderId="0" xfId="0" applyNumberFormat="1" applyFont="1" applyFill="1" applyBorder="1"/>
    <xf numFmtId="0" fontId="4" fillId="3" borderId="0" xfId="0" applyFont="1" applyFill="1"/>
    <xf numFmtId="1" fontId="4" fillId="3" borderId="0" xfId="0" applyNumberFormat="1" applyFont="1" applyFill="1"/>
    <xf numFmtId="164" fontId="4" fillId="3" borderId="0" xfId="0" applyNumberFormat="1" applyFont="1" applyFill="1"/>
    <xf numFmtId="0" fontId="4" fillId="3" borderId="0" xfId="0" applyFont="1" applyFill="1" applyAlignment="1">
      <alignment horizontal="right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61871393172303"/>
          <c:y val="6.8251195220901714E-2"/>
          <c:w val="0.82546618541717964"/>
          <c:h val="0.765601941263923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'old_biotransf4 21102020'!$K$5</c:f>
              <c:strCache>
                <c:ptCount val="1"/>
                <c:pt idx="0">
                  <c:v>Free enzyme 5 uM</c:v>
                </c:pt>
              </c:strCache>
            </c:strRef>
          </c:tx>
          <c:spPr>
            <a:ln w="63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minus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'old_biotransf4 21102020'!$N$4:$Q$4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'old_biotransf4 21102020'!$N$5:$Q$5</c:f>
              <c:numCache>
                <c:formatCode>General</c:formatCode>
                <c:ptCount val="4"/>
                <c:pt idx="0">
                  <c:v>4.9992880529537516</c:v>
                </c:pt>
                <c:pt idx="1">
                  <c:v>10.975684781488351</c:v>
                </c:pt>
                <c:pt idx="2">
                  <c:v>16.21599188515739</c:v>
                </c:pt>
                <c:pt idx="3">
                  <c:v>22.045528925159456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04E-43B3-92D5-9CE43626E4B0}"/>
            </c:ext>
          </c:extLst>
        </c:ser>
        <c:ser>
          <c:idx val="1"/>
          <c:order val="1"/>
          <c:tx>
            <c:strRef>
              <c:f>'old_biotransf4 21102020'!$K$7</c:f>
              <c:strCache>
                <c:ptCount val="1"/>
                <c:pt idx="0">
                  <c:v>Precipitated enzyme 5 uM</c:v>
                </c:pt>
              </c:strCache>
            </c:strRef>
          </c:tx>
          <c:spPr>
            <a:ln w="63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'old_biotransf4 21102020'!$N$4:$Q$4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'old_biotransf4 21102020'!$N$7:$Q$7</c:f>
              <c:numCache>
                <c:formatCode>General</c:formatCode>
                <c:ptCount val="4"/>
                <c:pt idx="0">
                  <c:v>2.9611813624971521</c:v>
                </c:pt>
                <c:pt idx="1">
                  <c:v>4.9019363798343996</c:v>
                </c:pt>
                <c:pt idx="2">
                  <c:v>6.8768856382662804</c:v>
                </c:pt>
                <c:pt idx="3">
                  <c:v>8.3932471049216328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04E-43B3-92D5-9CE43626E4B0}"/>
            </c:ext>
          </c:extLst>
        </c:ser>
        <c:ser>
          <c:idx val="2"/>
          <c:order val="2"/>
          <c:tx>
            <c:strRef>
              <c:f>'old_biotransf4 21102020'!$K$9</c:f>
              <c:strCache>
                <c:ptCount val="1"/>
                <c:pt idx="0">
                  <c:v>Aggregated enzyme 5 uM</c:v>
                </c:pt>
              </c:strCache>
            </c:strRef>
          </c:tx>
          <c:spPr>
            <a:ln w="63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'old_biotransf4 21102020'!$N$4:$Q$4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'old_biotransf4 21102020'!$N$9:$Q$9</c:f>
              <c:numCache>
                <c:formatCode>General</c:formatCode>
                <c:ptCount val="4"/>
                <c:pt idx="0">
                  <c:v>4.9392639007514916</c:v>
                </c:pt>
                <c:pt idx="1">
                  <c:v>10.254344913776052</c:v>
                </c:pt>
                <c:pt idx="2">
                  <c:v>15.201066493221248</c:v>
                </c:pt>
                <c:pt idx="3">
                  <c:v>20.294068612922349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04E-43B3-92D5-9CE43626E4B0}"/>
            </c:ext>
          </c:extLst>
        </c:ser>
        <c:ser>
          <c:idx val="3"/>
          <c:order val="3"/>
          <c:tx>
            <c:strRef>
              <c:f>'old_biotransf4 21102020'!$K$11</c:f>
              <c:strCache>
                <c:ptCount val="1"/>
                <c:pt idx="0">
                  <c:v>Encapsulated enzyme 1 uM</c:v>
                </c:pt>
              </c:strCache>
            </c:strRef>
          </c:tx>
          <c:spPr>
            <a:ln w="63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'old_biotransf4 21102020'!$N$4:$Q$4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'old_biotransf4 21102020'!$N$11:$Q$11</c:f>
              <c:numCache>
                <c:formatCode>General</c:formatCode>
                <c:ptCount val="4"/>
                <c:pt idx="0">
                  <c:v>3.4169676393284587</c:v>
                </c:pt>
                <c:pt idx="1">
                  <c:v>8.1103287353287357</c:v>
                </c:pt>
                <c:pt idx="2">
                  <c:v>12.643181142939106</c:v>
                </c:pt>
                <c:pt idx="3">
                  <c:v>17.144617000337163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04E-43B3-92D5-9CE43626E4B0}"/>
            </c:ext>
          </c:extLst>
        </c:ser>
        <c:ser>
          <c:idx val="5"/>
          <c:order val="5"/>
          <c:tx>
            <c:v>Free enzyme 1 uM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'old_biotransf4 21102020'!$N$25:$Q$25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'old_biotransf4 21102020'!$N$26:$Q$26</c:f>
              <c:numCache>
                <c:formatCode>General</c:formatCode>
                <c:ptCount val="4"/>
                <c:pt idx="0">
                  <c:v>4.2177353896103895</c:v>
                </c:pt>
                <c:pt idx="1">
                  <c:v>8.1845844917129789</c:v>
                </c:pt>
                <c:pt idx="2">
                  <c:v>12.726940785932996</c:v>
                </c:pt>
                <c:pt idx="3">
                  <c:v>16.857537657920311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E08-40A1-B9E7-310BF53AA6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419888"/>
        <c:axId val="836078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'old_biotransf4 21102020'!$K$13</c15:sqref>
                        </c15:formulaRef>
                      </c:ext>
                    </c:extLst>
                    <c:strCache>
                      <c:ptCount val="1"/>
                      <c:pt idx="0">
                        <c:v>NC</c:v>
                      </c:pt>
                    </c:strCache>
                  </c:strRef>
                </c:tx>
                <c:spPr>
                  <a:ln w="63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'old_biotransf4 21102020'!$N$4:$Q$4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'old_biotransf4 21102020'!$N$13:$Q$13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9-704E-43B3-92D5-9CE43626E4B0}"/>
                  </c:ext>
                </c:extLst>
              </c15:ser>
            </c15:filteredScatterSeries>
          </c:ext>
        </c:extLst>
      </c:scatterChart>
      <c:valAx>
        <c:axId val="306419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60784"/>
        <c:crosses val="autoZero"/>
        <c:crossBetween val="midCat"/>
        <c:majorUnit val="1"/>
      </c:valAx>
      <c:valAx>
        <c:axId val="83607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Styrene oxide</a:t>
                </a:r>
                <a:r>
                  <a:rPr lang="en-GB" baseline="0"/>
                  <a:t> [mM]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41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3557845741247271"/>
          <c:y val="9.4922257352488701E-2"/>
          <c:w val="0.28511704447845104"/>
          <c:h val="0.311054771091415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RT tBuOOH feed 2.5 mM every 15 min</a:t>
            </a:r>
            <a:r>
              <a:rPr lang="en-GB" baseline="0"/>
              <a:t> </a:t>
            </a:r>
            <a:endParaRPr lang="en-GB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8553281801605752E-2"/>
          <c:y val="0.15198708175440148"/>
          <c:w val="0.84676119588740828"/>
          <c:h val="0.7029129315307677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'temperatures 29102020'!$N$67:$N$70</c:f>
              <c:strCache>
                <c:ptCount val="4"/>
                <c:pt idx="0">
                  <c:v>0.25 uM free</c:v>
                </c:pt>
              </c:strCache>
            </c:strRef>
          </c:tx>
          <c:xVal>
            <c:numRef>
              <c:f>'temperatures 29102020'!$O$67:$O$69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29102020'!$P$67:$P$69</c:f>
              <c:numCache>
                <c:formatCode>0.000</c:formatCode>
                <c:ptCount val="3"/>
                <c:pt idx="0">
                  <c:v>1.2503154972236243</c:v>
                </c:pt>
                <c:pt idx="1">
                  <c:v>1.671578825705039</c:v>
                </c:pt>
                <c:pt idx="2">
                  <c:v>2.1493271221532089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06-4710-820C-752102401016}"/>
            </c:ext>
          </c:extLst>
        </c:ser>
        <c:ser>
          <c:idx val="1"/>
          <c:order val="1"/>
          <c:tx>
            <c:strRef>
              <c:f>'temperatures 29102020'!$N$71:$N$74</c:f>
              <c:strCache>
                <c:ptCount val="4"/>
                <c:pt idx="0">
                  <c:v>0.1 uM free</c:v>
                </c:pt>
              </c:strCache>
            </c:strRef>
          </c:tx>
          <c:xVal>
            <c:numRef>
              <c:f>'temperatures 29102020'!$O$71:$O$73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29102020'!$P$71:$P$73</c:f>
              <c:numCache>
                <c:formatCode>0.000</c:formatCode>
                <c:ptCount val="3"/>
                <c:pt idx="0">
                  <c:v>0.80357142857142849</c:v>
                </c:pt>
                <c:pt idx="1">
                  <c:v>1.4553513337670789</c:v>
                </c:pt>
                <c:pt idx="2">
                  <c:v>1.7530043699927167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206-4710-820C-752102401016}"/>
            </c:ext>
          </c:extLst>
        </c:ser>
        <c:ser>
          <c:idx val="2"/>
          <c:order val="2"/>
          <c:tx>
            <c:strRef>
              <c:f>'temperatures 29102020'!$N$75:$N$78</c:f>
              <c:strCache>
                <c:ptCount val="4"/>
                <c:pt idx="0">
                  <c:v>0.1 uM beads</c:v>
                </c:pt>
              </c:strCache>
            </c:strRef>
          </c:tx>
          <c:xVal>
            <c:numRef>
              <c:f>'temperatures 29102020'!$O$75:$O$77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29102020'!$P$75:$P$77</c:f>
              <c:numCache>
                <c:formatCode>0.000</c:formatCode>
                <c:ptCount val="3"/>
                <c:pt idx="0">
                  <c:v>1.6736681926958694</c:v>
                </c:pt>
                <c:pt idx="1">
                  <c:v>3.1104085603112841</c:v>
                </c:pt>
                <c:pt idx="2">
                  <c:v>5.541180758017493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206-4710-820C-752102401016}"/>
            </c:ext>
          </c:extLst>
        </c:ser>
        <c:ser>
          <c:idx val="3"/>
          <c:order val="3"/>
          <c:tx>
            <c:strRef>
              <c:f>'temperatures 29102020'!$N$79:$N$82</c:f>
              <c:strCache>
                <c:ptCount val="4"/>
                <c:pt idx="0">
                  <c:v>0.05 uM beads</c:v>
                </c:pt>
              </c:strCache>
            </c:strRef>
          </c:tx>
          <c:xVal>
            <c:numRef>
              <c:f>'temperatures 29102020'!$O$79:$O$81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29102020'!$P$79:$P$81</c:f>
              <c:numCache>
                <c:formatCode>0.000</c:formatCode>
                <c:ptCount val="3"/>
                <c:pt idx="0">
                  <c:v>1.4391421125412192</c:v>
                </c:pt>
                <c:pt idx="1">
                  <c:v>2.1001432980599648</c:v>
                </c:pt>
                <c:pt idx="2">
                  <c:v>3.276499375260308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206-4710-820C-752102401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217456"/>
        <c:axId val="207816304"/>
        <c:extLst/>
      </c:scatterChart>
      <c:valAx>
        <c:axId val="569217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[h]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816304"/>
        <c:crosses val="autoZero"/>
        <c:crossBetween val="midCat"/>
        <c:majorUnit val="0.5"/>
      </c:valAx>
      <c:valAx>
        <c:axId val="20781630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styrene</a:t>
                </a:r>
                <a:r>
                  <a:rPr lang="en-GB" baseline="0"/>
                  <a:t> oxide [mM]</a:t>
                </a:r>
                <a:endParaRPr lang="en-GB"/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17456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10251340527347834"/>
          <c:y val="0.18166140531786348"/>
          <c:w val="0.1980249237783544"/>
          <c:h val="0.28498576485848159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RT tBuOOH feed 5 mM every 1 h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8553281801605752E-2"/>
          <c:y val="0.15198708175440148"/>
          <c:w val="0.84676119588740828"/>
          <c:h val="0.7029129315307677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'temperatures 29102020'!$N$88:$N$91</c:f>
              <c:strCache>
                <c:ptCount val="4"/>
                <c:pt idx="0">
                  <c:v>0.25 uM free</c:v>
                </c:pt>
              </c:strCache>
            </c:strRef>
          </c:tx>
          <c:xVal>
            <c:numRef>
              <c:f>'temperatures 29102020'!$O$88:$O$90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29102020'!$P$88:$P$90</c:f>
              <c:numCache>
                <c:formatCode>0.000</c:formatCode>
                <c:ptCount val="3"/>
                <c:pt idx="0">
                  <c:v>1.2308125255832993</c:v>
                </c:pt>
                <c:pt idx="1">
                  <c:v>1.5869331264390831</c:v>
                </c:pt>
                <c:pt idx="2">
                  <c:v>2.0228973627940126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CC-498C-BBB4-84D97891750B}"/>
            </c:ext>
          </c:extLst>
        </c:ser>
        <c:ser>
          <c:idx val="1"/>
          <c:order val="1"/>
          <c:tx>
            <c:strRef>
              <c:f>'temperatures 29102020'!$N$92:$N$95</c:f>
              <c:strCache>
                <c:ptCount val="4"/>
                <c:pt idx="0">
                  <c:v>0.1 uM free</c:v>
                </c:pt>
              </c:strCache>
            </c:strRef>
          </c:tx>
          <c:xVal>
            <c:numRef>
              <c:f>'temperatures 29102020'!$O$92:$O$94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29102020'!$P$92:$P$94</c:f>
              <c:numCache>
                <c:formatCode>0.000</c:formatCode>
                <c:ptCount val="3"/>
                <c:pt idx="0">
                  <c:v>1.2651134672619049</c:v>
                </c:pt>
                <c:pt idx="1">
                  <c:v>1.48479763574434</c:v>
                </c:pt>
                <c:pt idx="2">
                  <c:v>1.781554019457245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2CC-498C-BBB4-84D97891750B}"/>
            </c:ext>
          </c:extLst>
        </c:ser>
        <c:ser>
          <c:idx val="2"/>
          <c:order val="2"/>
          <c:tx>
            <c:strRef>
              <c:f>'temperatures 29102020'!$N$96:$N$99</c:f>
              <c:strCache>
                <c:ptCount val="4"/>
                <c:pt idx="0">
                  <c:v>0.1 uM beads</c:v>
                </c:pt>
              </c:strCache>
            </c:strRef>
          </c:tx>
          <c:xVal>
            <c:numRef>
              <c:f>'temperatures 29102020'!$O$96:$O$98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29102020'!$P$96:$P$98</c:f>
              <c:numCache>
                <c:formatCode>0.000</c:formatCode>
                <c:ptCount val="3"/>
                <c:pt idx="0">
                  <c:v>1.8914729568957629</c:v>
                </c:pt>
                <c:pt idx="1">
                  <c:v>2.4507163773269189</c:v>
                </c:pt>
                <c:pt idx="2">
                  <c:v>3.9821428571428572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2CC-498C-BBB4-84D97891750B}"/>
            </c:ext>
          </c:extLst>
        </c:ser>
        <c:ser>
          <c:idx val="3"/>
          <c:order val="3"/>
          <c:tx>
            <c:strRef>
              <c:f>'temperatures 29102020'!$N$100:$N$103</c:f>
              <c:strCache>
                <c:ptCount val="4"/>
                <c:pt idx="0">
                  <c:v>0.05 uM beads</c:v>
                </c:pt>
              </c:strCache>
            </c:strRef>
          </c:tx>
          <c:xVal>
            <c:numRef>
              <c:f>'temperatures 29102020'!$O$100:$O$102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29102020'!$P$100:$P$102</c:f>
              <c:numCache>
                <c:formatCode>0.000</c:formatCode>
                <c:ptCount val="3"/>
                <c:pt idx="0">
                  <c:v>1.6090279681930353</c:v>
                </c:pt>
                <c:pt idx="1">
                  <c:v>1.925350478823181</c:v>
                </c:pt>
                <c:pt idx="2">
                  <c:v>2.6795212765957444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2CC-498C-BBB4-84D978917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217456"/>
        <c:axId val="207816304"/>
        <c:extLst/>
      </c:scatterChart>
      <c:valAx>
        <c:axId val="569217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[h]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816304"/>
        <c:crosses val="autoZero"/>
        <c:crossBetween val="midCat"/>
        <c:majorUnit val="0.5"/>
      </c:valAx>
      <c:valAx>
        <c:axId val="20781630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styrene</a:t>
                </a:r>
                <a:r>
                  <a:rPr lang="en-GB" baseline="0"/>
                  <a:t> oxide [mM]</a:t>
                </a:r>
                <a:endParaRPr lang="en-GB"/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17456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10251340527347834"/>
          <c:y val="0.18166140531786348"/>
          <c:w val="0.1980249237783544"/>
          <c:h val="0.28498576485848159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RT tBuOOH feed 10 mM every 1</a:t>
            </a:r>
            <a:r>
              <a:rPr lang="en-GB" baseline="0"/>
              <a:t> h </a:t>
            </a:r>
            <a:endParaRPr lang="en-GB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8553281801605752E-2"/>
          <c:y val="0.15198708175440148"/>
          <c:w val="0.84676119588740828"/>
          <c:h val="0.7029129315307677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'temperatures 29102020'!$N$108:$N$111</c:f>
              <c:strCache>
                <c:ptCount val="4"/>
                <c:pt idx="0">
                  <c:v>0.25 uM free</c:v>
                </c:pt>
              </c:strCache>
            </c:strRef>
          </c:tx>
          <c:xVal>
            <c:numRef>
              <c:f>'temperatures 29102020'!$O$108:$O$110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29102020'!$P$108:$P$110</c:f>
              <c:numCache>
                <c:formatCode>0.000</c:formatCode>
                <c:ptCount val="3"/>
                <c:pt idx="0">
                  <c:v>1.4730533525594811</c:v>
                </c:pt>
                <c:pt idx="1">
                  <c:v>1.8243210938994072</c:v>
                </c:pt>
                <c:pt idx="2">
                  <c:v>2.5806471517425216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3F-4F02-9DED-949D46474315}"/>
            </c:ext>
          </c:extLst>
        </c:ser>
        <c:ser>
          <c:idx val="1"/>
          <c:order val="1"/>
          <c:tx>
            <c:strRef>
              <c:f>'temperatures 29102020'!$N$112:$N$115</c:f>
              <c:strCache>
                <c:ptCount val="4"/>
                <c:pt idx="0">
                  <c:v>0.1 uM free</c:v>
                </c:pt>
              </c:strCache>
            </c:strRef>
          </c:tx>
          <c:xVal>
            <c:numRef>
              <c:f>'temperatures 29102020'!$O$112:$O$114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29102020'!$P$112:$P$114</c:f>
              <c:numCache>
                <c:formatCode>0.000</c:formatCode>
                <c:ptCount val="3"/>
                <c:pt idx="0">
                  <c:v>1.3385322483423749</c:v>
                </c:pt>
                <c:pt idx="1">
                  <c:v>1.6370555505292677</c:v>
                </c:pt>
                <c:pt idx="2">
                  <c:v>1.9276721479958889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03F-4F02-9DED-949D46474315}"/>
            </c:ext>
          </c:extLst>
        </c:ser>
        <c:ser>
          <c:idx val="2"/>
          <c:order val="2"/>
          <c:tx>
            <c:strRef>
              <c:f>'temperatures 29102020'!$N$116:$N$119</c:f>
              <c:strCache>
                <c:ptCount val="4"/>
                <c:pt idx="0">
                  <c:v>0.1 uM beads</c:v>
                </c:pt>
              </c:strCache>
            </c:strRef>
          </c:tx>
          <c:xVal>
            <c:numRef>
              <c:f>'temperatures 29102020'!$O$116:$O$118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29102020'!$P$116:$P$118</c:f>
              <c:numCache>
                <c:formatCode>0.000</c:formatCode>
                <c:ptCount val="3"/>
                <c:pt idx="0">
                  <c:v>2.6353927823746384</c:v>
                </c:pt>
                <c:pt idx="1">
                  <c:v>4.0666236374067699</c:v>
                </c:pt>
                <c:pt idx="2">
                  <c:v>6.3188736887639232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03F-4F02-9DED-949D46474315}"/>
            </c:ext>
          </c:extLst>
        </c:ser>
        <c:ser>
          <c:idx val="3"/>
          <c:order val="3"/>
          <c:tx>
            <c:strRef>
              <c:f>'temperatures 29102020'!$N$120:$N$123</c:f>
              <c:strCache>
                <c:ptCount val="4"/>
                <c:pt idx="0">
                  <c:v>0.05 uM beads</c:v>
                </c:pt>
              </c:strCache>
            </c:strRef>
          </c:tx>
          <c:xVal>
            <c:numRef>
              <c:f>'temperatures 29102020'!$O$120:$O$122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29102020'!$P$120:$P$122</c:f>
              <c:numCache>
                <c:formatCode>0.000</c:formatCode>
                <c:ptCount val="3"/>
                <c:pt idx="0">
                  <c:v>1.8724522883083197</c:v>
                </c:pt>
                <c:pt idx="1">
                  <c:v>2.7605185909980432</c:v>
                </c:pt>
                <c:pt idx="2">
                  <c:v>4.0852238953833968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03F-4F02-9DED-949D464743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217456"/>
        <c:axId val="207816304"/>
        <c:extLst/>
      </c:scatterChart>
      <c:valAx>
        <c:axId val="569217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[h]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816304"/>
        <c:crosses val="autoZero"/>
        <c:crossBetween val="midCat"/>
        <c:majorUnit val="0.5"/>
      </c:valAx>
      <c:valAx>
        <c:axId val="20781630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styrene</a:t>
                </a:r>
                <a:r>
                  <a:rPr lang="en-GB" baseline="0"/>
                  <a:t> oxide [mM]</a:t>
                </a:r>
                <a:endParaRPr lang="en-GB"/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17456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10251340527347834"/>
          <c:y val="0.18166140531786348"/>
          <c:w val="0.1980249237783544"/>
          <c:h val="0.28498576485848159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Beads TOF [1/h]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'temperatures 29102020'!$AR$4</c:f>
              <c:strCache>
                <c:ptCount val="1"/>
                <c:pt idx="0">
                  <c:v>TOF [1/h]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'temperatures 29102020'!$AN$5:$AP$16</c:f>
              <c:multiLvlStrCache>
                <c:ptCount val="12"/>
                <c:lvl>
                  <c:pt idx="0">
                    <c:v>4x1.25</c:v>
                  </c:pt>
                  <c:pt idx="1">
                    <c:v>4x1.25</c:v>
                  </c:pt>
                  <c:pt idx="2">
                    <c:v>1x5</c:v>
                  </c:pt>
                  <c:pt idx="3">
                    <c:v>1x5</c:v>
                  </c:pt>
                  <c:pt idx="4">
                    <c:v>4x1.25</c:v>
                  </c:pt>
                  <c:pt idx="5">
                    <c:v>4x1.25</c:v>
                  </c:pt>
                  <c:pt idx="6">
                    <c:v>1x5</c:v>
                  </c:pt>
                  <c:pt idx="7">
                    <c:v>1x5</c:v>
                  </c:pt>
                  <c:pt idx="8">
                    <c:v>4x2.5</c:v>
                  </c:pt>
                  <c:pt idx="9">
                    <c:v>4x2.5</c:v>
                  </c:pt>
                  <c:pt idx="10">
                    <c:v>1x10</c:v>
                  </c:pt>
                  <c:pt idx="11">
                    <c:v>1x10</c:v>
                  </c:pt>
                </c:lvl>
                <c:lvl>
                  <c:pt idx="0">
                    <c:v>RT</c:v>
                  </c:pt>
                  <c:pt idx="1">
                    <c:v>RT</c:v>
                  </c:pt>
                  <c:pt idx="2">
                    <c:v>RT</c:v>
                  </c:pt>
                  <c:pt idx="3">
                    <c:v>RT</c:v>
                  </c:pt>
                  <c:pt idx="4">
                    <c:v>RT</c:v>
                  </c:pt>
                  <c:pt idx="5">
                    <c:v>RT</c:v>
                  </c:pt>
                  <c:pt idx="6">
                    <c:v>RT</c:v>
                  </c:pt>
                  <c:pt idx="7">
                    <c:v>RT</c:v>
                  </c:pt>
                  <c:pt idx="8">
                    <c:v>RT</c:v>
                  </c:pt>
                  <c:pt idx="9">
                    <c:v>RT</c:v>
                  </c:pt>
                  <c:pt idx="10">
                    <c:v>RT</c:v>
                  </c:pt>
                  <c:pt idx="11">
                    <c:v>RT</c:v>
                  </c:pt>
                </c:lvl>
                <c:lvl>
                  <c:pt idx="0">
                    <c:v>0.5</c:v>
                  </c:pt>
                  <c:pt idx="1">
                    <c:v>0.25</c:v>
                  </c:pt>
                  <c:pt idx="2">
                    <c:v>0.5</c:v>
                  </c:pt>
                  <c:pt idx="3">
                    <c:v>0.25</c:v>
                  </c:pt>
                  <c:pt idx="4">
                    <c:v>0.1</c:v>
                  </c:pt>
                  <c:pt idx="5">
                    <c:v>0.05</c:v>
                  </c:pt>
                  <c:pt idx="6">
                    <c:v>0.1</c:v>
                  </c:pt>
                  <c:pt idx="7">
                    <c:v>0.05</c:v>
                  </c:pt>
                  <c:pt idx="8">
                    <c:v>0.1</c:v>
                  </c:pt>
                  <c:pt idx="9">
                    <c:v>0.05</c:v>
                  </c:pt>
                  <c:pt idx="10">
                    <c:v>0.1</c:v>
                  </c:pt>
                  <c:pt idx="11">
                    <c:v>0.05</c:v>
                  </c:pt>
                </c:lvl>
              </c:multiLvlStrCache>
            </c:multiLvlStrRef>
          </c:cat>
          <c:val>
            <c:numRef>
              <c:f>'temperatures 29102020'!$AR$5:$AR$16</c:f>
              <c:numCache>
                <c:formatCode>0</c:formatCode>
                <c:ptCount val="12"/>
                <c:pt idx="0">
                  <c:v>12053.576684567888</c:v>
                </c:pt>
                <c:pt idx="1">
                  <c:v>21071.182400957412</c:v>
                </c:pt>
                <c:pt idx="2">
                  <c:v>7997.9944544586087</c:v>
                </c:pt>
                <c:pt idx="3">
                  <c:v>15391.377798588825</c:v>
                </c:pt>
                <c:pt idx="4">
                  <c:v>9225.4964117252839</c:v>
                </c:pt>
                <c:pt idx="5">
                  <c:v>11653.446145139742</c:v>
                </c:pt>
                <c:pt idx="6">
                  <c:v>30628.529596318764</c:v>
                </c:pt>
                <c:pt idx="7">
                  <c:v>30166.831910902532</c:v>
                </c:pt>
                <c:pt idx="8">
                  <c:v>48615.443954124174</c:v>
                </c:pt>
                <c:pt idx="9">
                  <c:v>47054.243088013725</c:v>
                </c:pt>
                <c:pt idx="10">
                  <c:v>45045.001027143066</c:v>
                </c:pt>
                <c:pt idx="11">
                  <c:v>52988.212175414141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A3-47A5-BADA-D983BC36D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0699040"/>
        <c:axId val="520557520"/>
      </c:barChart>
      <c:catAx>
        <c:axId val="64069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0557520"/>
        <c:crosses val="autoZero"/>
        <c:auto val="1"/>
        <c:lblAlgn val="ctr"/>
        <c:lblOffset val="100"/>
        <c:noMultiLvlLbl val="0"/>
      </c:catAx>
      <c:valAx>
        <c:axId val="52055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0699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Free UPO TOF [1/h]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'temperatures 29102020'!$AI$4</c:f>
              <c:strCache>
                <c:ptCount val="1"/>
                <c:pt idx="0">
                  <c:v>TOF [1/h]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'temperatures 29102020'!$AE$5:$AG$16</c:f>
              <c:multiLvlStrCache>
                <c:ptCount val="12"/>
                <c:lvl>
                  <c:pt idx="0">
                    <c:v>4x1.25</c:v>
                  </c:pt>
                  <c:pt idx="1">
                    <c:v>4x1.25</c:v>
                  </c:pt>
                  <c:pt idx="2">
                    <c:v>1x5</c:v>
                  </c:pt>
                  <c:pt idx="3">
                    <c:v>1x5</c:v>
                  </c:pt>
                  <c:pt idx="4">
                    <c:v>4x1.25</c:v>
                  </c:pt>
                  <c:pt idx="5">
                    <c:v>4x1.25</c:v>
                  </c:pt>
                  <c:pt idx="6">
                    <c:v>1x5</c:v>
                  </c:pt>
                  <c:pt idx="7">
                    <c:v>1x5</c:v>
                  </c:pt>
                  <c:pt idx="8">
                    <c:v>4x2.5</c:v>
                  </c:pt>
                  <c:pt idx="9">
                    <c:v>4x2.5</c:v>
                  </c:pt>
                  <c:pt idx="10">
                    <c:v>1x10</c:v>
                  </c:pt>
                  <c:pt idx="11">
                    <c:v>1x10</c:v>
                  </c:pt>
                </c:lvl>
                <c:lvl>
                  <c:pt idx="0">
                    <c:v>RT</c:v>
                  </c:pt>
                  <c:pt idx="1">
                    <c:v>RT</c:v>
                  </c:pt>
                  <c:pt idx="2">
                    <c:v>RT</c:v>
                  </c:pt>
                  <c:pt idx="3">
                    <c:v>RT</c:v>
                  </c:pt>
                  <c:pt idx="4">
                    <c:v>RT</c:v>
                  </c:pt>
                  <c:pt idx="5">
                    <c:v>RT</c:v>
                  </c:pt>
                  <c:pt idx="6">
                    <c:v>RT</c:v>
                  </c:pt>
                  <c:pt idx="7">
                    <c:v>RT</c:v>
                  </c:pt>
                  <c:pt idx="8">
                    <c:v>RT</c:v>
                  </c:pt>
                  <c:pt idx="9">
                    <c:v>RT</c:v>
                  </c:pt>
                  <c:pt idx="10">
                    <c:v>RT</c:v>
                  </c:pt>
                  <c:pt idx="11">
                    <c:v>RT</c:v>
                  </c:pt>
                </c:lvl>
                <c:lvl>
                  <c:pt idx="0">
                    <c:v>1</c:v>
                  </c:pt>
                  <c:pt idx="1">
                    <c:v>0.5</c:v>
                  </c:pt>
                  <c:pt idx="2">
                    <c:v>1</c:v>
                  </c:pt>
                  <c:pt idx="3">
                    <c:v>0.5</c:v>
                  </c:pt>
                  <c:pt idx="4">
                    <c:v>0.25</c:v>
                  </c:pt>
                  <c:pt idx="5">
                    <c:v>0.1</c:v>
                  </c:pt>
                  <c:pt idx="6">
                    <c:v>0.25</c:v>
                  </c:pt>
                  <c:pt idx="7">
                    <c:v>0.1</c:v>
                  </c:pt>
                  <c:pt idx="8">
                    <c:v>0.25</c:v>
                  </c:pt>
                  <c:pt idx="9">
                    <c:v>0.1</c:v>
                  </c:pt>
                  <c:pt idx="10">
                    <c:v>0.25</c:v>
                  </c:pt>
                  <c:pt idx="11">
                    <c:v>0.1</c:v>
                  </c:pt>
                </c:lvl>
              </c:multiLvlStrCache>
            </c:multiLvlStrRef>
          </c:cat>
          <c:val>
            <c:numRef>
              <c:f>'temperatures 29102020'!$AI$5:$AI$16</c:f>
              <c:numCache>
                <c:formatCode>0</c:formatCode>
                <c:ptCount val="12"/>
                <c:pt idx="0">
                  <c:v>4180.1388831726499</c:v>
                </c:pt>
                <c:pt idx="1">
                  <c:v>5481.6510543983122</c:v>
                </c:pt>
                <c:pt idx="2">
                  <c:v>3562.7051566595915</c:v>
                </c:pt>
                <c:pt idx="3">
                  <c:v>4662.4402570016773</c:v>
                </c:pt>
                <c:pt idx="4">
                  <c:v>3238.0502982891621</c:v>
                </c:pt>
                <c:pt idx="5">
                  <c:v>3676.3567803709616</c:v>
                </c:pt>
                <c:pt idx="6">
                  <c:v>3487.7138908394354</c:v>
                </c:pt>
                <c:pt idx="7">
                  <c:v>5935.1276742581003</c:v>
                </c:pt>
                <c:pt idx="8">
                  <c:v>3821.9863715853589</c:v>
                </c:pt>
                <c:pt idx="9">
                  <c:v>5953.0607245127549</c:v>
                </c:pt>
                <c:pt idx="10">
                  <c:v>6050.6084627449145</c:v>
                </c:pt>
                <c:pt idx="11">
                  <c:v>5812.3319493324252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7-426A-BA60-C928196FE3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1117952"/>
        <c:axId val="522182016"/>
      </c:barChart>
      <c:catAx>
        <c:axId val="64111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2182016"/>
        <c:crosses val="autoZero"/>
        <c:auto val="1"/>
        <c:lblAlgn val="ctr"/>
        <c:lblOffset val="100"/>
        <c:noMultiLvlLbl val="0"/>
      </c:catAx>
      <c:valAx>
        <c:axId val="52218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117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('temperatures 29102020'!$AK$47,'temperatures 29102020'!$AK$49,'temperatures 29102020'!$AK$51)</c:f>
                <c:numCache>
                  <c:formatCode>General</c:formatCode>
                  <c:ptCount val="3"/>
                  <c:pt idx="0">
                    <c:v>309.92948571806039</c:v>
                  </c:pt>
                  <c:pt idx="1">
                    <c:v>505.79318332945104</c:v>
                  </c:pt>
                  <c:pt idx="2">
                    <c:v>346.7438851189537</c:v>
                  </c:pt>
                </c:numCache>
              </c:numRef>
            </c:plus>
            <c:minus>
              <c:numRef>
                <c:f>('temperatures 29102020'!$AK$47,'temperatures 29102020'!$AK$49,'temperatures 29102020'!$AK$51)</c:f>
                <c:numCache>
                  <c:formatCode>General</c:formatCode>
                  <c:ptCount val="3"/>
                  <c:pt idx="0">
                    <c:v>309.92948571806039</c:v>
                  </c:pt>
                  <c:pt idx="1">
                    <c:v>505.79318332945104</c:v>
                  </c:pt>
                  <c:pt idx="2">
                    <c:v>346.7438851189537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('temperatures 29102020'!$AF$47,'temperatures 29102020'!$AF$49,'temperatures 29102020'!$AF$51)</c:f>
              <c:strCache>
                <c:ptCount val="3"/>
                <c:pt idx="0">
                  <c:v>RT</c:v>
                </c:pt>
                <c:pt idx="1">
                  <c:v>30°C</c:v>
                </c:pt>
                <c:pt idx="2">
                  <c:v>40°C</c:v>
                </c:pt>
              </c:strCache>
            </c:strRef>
          </c:cat>
          <c:val>
            <c:numRef>
              <c:f>('temperatures 29102020'!$AJ$47,'temperatures 29102020'!$AJ$49,'temperatures 29102020'!$AJ$51)</c:f>
              <c:numCache>
                <c:formatCode>0</c:formatCode>
                <c:ptCount val="3"/>
                <c:pt idx="0">
                  <c:v>3457.2035393300621</c:v>
                </c:pt>
                <c:pt idx="1">
                  <c:v>3711.8367699643486</c:v>
                </c:pt>
                <c:pt idx="2">
                  <c:v>5154.5650270863644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57-489F-98BA-7A5058EBF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6661072"/>
        <c:axId val="577255360"/>
      </c:barChart>
      <c:catAx>
        <c:axId val="80666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255360"/>
        <c:crosses val="autoZero"/>
        <c:auto val="1"/>
        <c:lblAlgn val="ctr"/>
        <c:lblOffset val="100"/>
        <c:noMultiLvlLbl val="0"/>
      </c:catAx>
      <c:valAx>
        <c:axId val="57725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66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('temperatures 29102020'!$AT$47,'temperatures 29102020'!$AT$49,'temperatures 29102020'!$AT$51)</c:f>
                <c:numCache>
                  <c:formatCode>General</c:formatCode>
                  <c:ptCount val="3"/>
                  <c:pt idx="0">
                    <c:v>1716.8197208774363</c:v>
                  </c:pt>
                  <c:pt idx="1">
                    <c:v>485.92308893200521</c:v>
                  </c:pt>
                  <c:pt idx="2">
                    <c:v>5.2917578039870845</c:v>
                  </c:pt>
                </c:numCache>
              </c:numRef>
            </c:plus>
            <c:minus>
              <c:numRef>
                <c:f>('temperatures 29102020'!$AT$47,'temperatures 29102020'!$AT$49,'temperatures 29102020'!$AT$51)</c:f>
                <c:numCache>
                  <c:formatCode>General</c:formatCode>
                  <c:ptCount val="3"/>
                  <c:pt idx="0">
                    <c:v>1716.8197208774363</c:v>
                  </c:pt>
                  <c:pt idx="1">
                    <c:v>485.92308893200521</c:v>
                  </c:pt>
                  <c:pt idx="2">
                    <c:v>5.2917578039870845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('temperatures 29102020'!$AO$47,'temperatures 29102020'!$AO$49,'temperatures 29102020'!$AO$51)</c:f>
              <c:strCache>
                <c:ptCount val="3"/>
                <c:pt idx="0">
                  <c:v>RT</c:v>
                </c:pt>
                <c:pt idx="1">
                  <c:v>30°C</c:v>
                </c:pt>
                <c:pt idx="2">
                  <c:v>40°C</c:v>
                </c:pt>
              </c:strCache>
            </c:strRef>
          </c:cat>
          <c:val>
            <c:numRef>
              <c:f>('temperatures 29102020'!$AS$47,'temperatures 29102020'!$AS$49,'temperatures 29102020'!$AS$51)</c:f>
              <c:numCache>
                <c:formatCode>0</c:formatCode>
                <c:ptCount val="3"/>
                <c:pt idx="0">
                  <c:v>10439.471278432513</c:v>
                </c:pt>
                <c:pt idx="1">
                  <c:v>14158.139286679532</c:v>
                </c:pt>
                <c:pt idx="2">
                  <c:v>18842.873667266678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BD-45ED-8B48-B1037BD7F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5519056"/>
        <c:axId val="523403232"/>
      </c:barChart>
      <c:catAx>
        <c:axId val="57551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3403232"/>
        <c:crosses val="autoZero"/>
        <c:auto val="1"/>
        <c:lblAlgn val="ctr"/>
        <c:lblOffset val="100"/>
        <c:noMultiLvlLbl val="0"/>
      </c:catAx>
      <c:valAx>
        <c:axId val="523403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519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Large Beads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'bead size 04122020'!$O$4:$O$33</c:f>
              <c:numCache>
                <c:formatCode>General</c:formatCode>
                <c:ptCount val="3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18.5</c:v>
                </c:pt>
                <c:pt idx="5">
                  <c:v>19.7</c:v>
                </c:pt>
                <c:pt idx="6">
                  <c:v>0.5</c:v>
                </c:pt>
                <c:pt idx="7">
                  <c:v>1</c:v>
                </c:pt>
                <c:pt idx="8">
                  <c:v>1.5</c:v>
                </c:pt>
                <c:pt idx="9">
                  <c:v>2</c:v>
                </c:pt>
                <c:pt idx="10">
                  <c:v>18.5</c:v>
                </c:pt>
                <c:pt idx="11">
                  <c:v>19.7</c:v>
                </c:pt>
                <c:pt idx="12">
                  <c:v>0.5</c:v>
                </c:pt>
                <c:pt idx="13">
                  <c:v>1</c:v>
                </c:pt>
                <c:pt idx="14">
                  <c:v>1.5</c:v>
                </c:pt>
                <c:pt idx="15">
                  <c:v>2</c:v>
                </c:pt>
                <c:pt idx="16">
                  <c:v>18.5</c:v>
                </c:pt>
                <c:pt idx="17">
                  <c:v>19.7</c:v>
                </c:pt>
                <c:pt idx="18">
                  <c:v>0.5</c:v>
                </c:pt>
                <c:pt idx="19">
                  <c:v>1</c:v>
                </c:pt>
                <c:pt idx="20">
                  <c:v>1.5</c:v>
                </c:pt>
                <c:pt idx="21">
                  <c:v>2</c:v>
                </c:pt>
                <c:pt idx="22">
                  <c:v>18.5</c:v>
                </c:pt>
                <c:pt idx="23">
                  <c:v>19.7</c:v>
                </c:pt>
                <c:pt idx="24">
                  <c:v>0.5</c:v>
                </c:pt>
                <c:pt idx="25">
                  <c:v>1</c:v>
                </c:pt>
                <c:pt idx="26">
                  <c:v>1.5</c:v>
                </c:pt>
                <c:pt idx="27">
                  <c:v>2</c:v>
                </c:pt>
                <c:pt idx="28">
                  <c:v>18.5</c:v>
                </c:pt>
                <c:pt idx="29">
                  <c:v>19.7</c:v>
                </c:pt>
              </c:numCache>
            </c:numRef>
          </c:xVal>
          <c:yVal>
            <c:numRef>
              <c:f>'bead size 04122020'!$P$4:$P$33</c:f>
              <c:numCache>
                <c:formatCode>0.000</c:formatCode>
                <c:ptCount val="30"/>
                <c:pt idx="0">
                  <c:v>1.4372119815668203</c:v>
                </c:pt>
                <c:pt idx="1">
                  <c:v>2.3054337378349152</c:v>
                </c:pt>
                <c:pt idx="2">
                  <c:v>3.4765450067174206</c:v>
                </c:pt>
                <c:pt idx="3">
                  <c:v>4.795966865833786</c:v>
                </c:pt>
                <c:pt idx="4">
                  <c:v>17.360887595939587</c:v>
                </c:pt>
                <c:pt idx="5">
                  <c:v>17.302812171475299</c:v>
                </c:pt>
                <c:pt idx="6">
                  <c:v>1.1062348668280872</c:v>
                </c:pt>
                <c:pt idx="7">
                  <c:v>1.7865616911130284</c:v>
                </c:pt>
                <c:pt idx="8">
                  <c:v>2.5665377616014555</c:v>
                </c:pt>
                <c:pt idx="9">
                  <c:v>3.4089578454332554</c:v>
                </c:pt>
                <c:pt idx="10">
                  <c:v>10.51906779661017</c:v>
                </c:pt>
                <c:pt idx="11">
                  <c:v>10.722631645250694</c:v>
                </c:pt>
                <c:pt idx="12">
                  <c:v>1.4469761499148208</c:v>
                </c:pt>
                <c:pt idx="13">
                  <c:v>2.1693705572116486</c:v>
                </c:pt>
                <c:pt idx="14">
                  <c:v>3.4774925595238093</c:v>
                </c:pt>
                <c:pt idx="15">
                  <c:v>4.702450327450328</c:v>
                </c:pt>
                <c:pt idx="16">
                  <c:v>20.064202102245584</c:v>
                </c:pt>
                <c:pt idx="17">
                  <c:v>20.128631961259082</c:v>
                </c:pt>
                <c:pt idx="18">
                  <c:v>1.6314505978602896</c:v>
                </c:pt>
                <c:pt idx="19">
                  <c:v>1.9272503265645411</c:v>
                </c:pt>
                <c:pt idx="20">
                  <c:v>2.6066486804145748</c:v>
                </c:pt>
                <c:pt idx="21">
                  <c:v>3.4456997084548107</c:v>
                </c:pt>
                <c:pt idx="22">
                  <c:v>10.101221887171754</c:v>
                </c:pt>
                <c:pt idx="23">
                  <c:v>10.113434163701067</c:v>
                </c:pt>
                <c:pt idx="24">
                  <c:v>1.6316655023867734</c:v>
                </c:pt>
                <c:pt idx="25">
                  <c:v>2.595268006700167</c:v>
                </c:pt>
                <c:pt idx="26">
                  <c:v>4.2629551820728295</c:v>
                </c:pt>
                <c:pt idx="27">
                  <c:v>5.5189732142857144</c:v>
                </c:pt>
                <c:pt idx="28">
                  <c:v>25.605158730158731</c:v>
                </c:pt>
                <c:pt idx="29">
                  <c:v>25.677346302346304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EF-42BC-905C-E1084E6853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1732591"/>
        <c:axId val="1061759215"/>
      </c:scatterChart>
      <c:valAx>
        <c:axId val="1061732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759215"/>
        <c:crosses val="autoZero"/>
        <c:crossBetween val="midCat"/>
      </c:valAx>
      <c:valAx>
        <c:axId val="1061759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7325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Small</a:t>
            </a:r>
            <a:r>
              <a:rPr lang="en-GB" baseline="0"/>
              <a:t> Beads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'bead size 04122020'!$O$16:$O$43</c:f>
              <c:numCache>
                <c:formatCode>General</c:formatCode>
                <c:ptCount val="28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18.5</c:v>
                </c:pt>
                <c:pt idx="5">
                  <c:v>19.7</c:v>
                </c:pt>
                <c:pt idx="6">
                  <c:v>0.5</c:v>
                </c:pt>
                <c:pt idx="7">
                  <c:v>1</c:v>
                </c:pt>
                <c:pt idx="8">
                  <c:v>1.5</c:v>
                </c:pt>
                <c:pt idx="9">
                  <c:v>2</c:v>
                </c:pt>
                <c:pt idx="10">
                  <c:v>18.5</c:v>
                </c:pt>
                <c:pt idx="11">
                  <c:v>19.7</c:v>
                </c:pt>
                <c:pt idx="12">
                  <c:v>0.5</c:v>
                </c:pt>
                <c:pt idx="13">
                  <c:v>1</c:v>
                </c:pt>
                <c:pt idx="14">
                  <c:v>1.5</c:v>
                </c:pt>
                <c:pt idx="15">
                  <c:v>2</c:v>
                </c:pt>
                <c:pt idx="16">
                  <c:v>18.5</c:v>
                </c:pt>
                <c:pt idx="17">
                  <c:v>19.7</c:v>
                </c:pt>
                <c:pt idx="18">
                  <c:v>0.5</c:v>
                </c:pt>
                <c:pt idx="19">
                  <c:v>1</c:v>
                </c:pt>
                <c:pt idx="20">
                  <c:v>1.5</c:v>
                </c:pt>
                <c:pt idx="21">
                  <c:v>2</c:v>
                </c:pt>
                <c:pt idx="22">
                  <c:v>18.5</c:v>
                </c:pt>
                <c:pt idx="23">
                  <c:v>19.7</c:v>
                </c:pt>
                <c:pt idx="24">
                  <c:v>0.5</c:v>
                </c:pt>
                <c:pt idx="25">
                  <c:v>1</c:v>
                </c:pt>
                <c:pt idx="26">
                  <c:v>1.5</c:v>
                </c:pt>
                <c:pt idx="27">
                  <c:v>2</c:v>
                </c:pt>
              </c:numCache>
            </c:numRef>
          </c:xVal>
          <c:yVal>
            <c:numRef>
              <c:f>'bead size 04122020'!$P$16:$P$43</c:f>
              <c:numCache>
                <c:formatCode>0.000</c:formatCode>
                <c:ptCount val="28"/>
                <c:pt idx="0">
                  <c:v>1.4469761499148208</c:v>
                </c:pt>
                <c:pt idx="1">
                  <c:v>2.1693705572116486</c:v>
                </c:pt>
                <c:pt idx="2">
                  <c:v>3.4774925595238093</c:v>
                </c:pt>
                <c:pt idx="3">
                  <c:v>4.702450327450328</c:v>
                </c:pt>
                <c:pt idx="4">
                  <c:v>20.064202102245584</c:v>
                </c:pt>
                <c:pt idx="5">
                  <c:v>20.128631961259082</c:v>
                </c:pt>
                <c:pt idx="6">
                  <c:v>1.6314505978602896</c:v>
                </c:pt>
                <c:pt idx="7">
                  <c:v>1.9272503265645411</c:v>
                </c:pt>
                <c:pt idx="8">
                  <c:v>2.6066486804145748</c:v>
                </c:pt>
                <c:pt idx="9">
                  <c:v>3.4456997084548107</c:v>
                </c:pt>
                <c:pt idx="10">
                  <c:v>10.101221887171754</c:v>
                </c:pt>
                <c:pt idx="11">
                  <c:v>10.113434163701067</c:v>
                </c:pt>
                <c:pt idx="12">
                  <c:v>1.6316655023867734</c:v>
                </c:pt>
                <c:pt idx="13">
                  <c:v>2.595268006700167</c:v>
                </c:pt>
                <c:pt idx="14">
                  <c:v>4.2629551820728295</c:v>
                </c:pt>
                <c:pt idx="15">
                  <c:v>5.5189732142857144</c:v>
                </c:pt>
                <c:pt idx="16">
                  <c:v>25.605158730158731</c:v>
                </c:pt>
                <c:pt idx="17">
                  <c:v>25.677346302346304</c:v>
                </c:pt>
                <c:pt idx="18">
                  <c:v>1.4180761742516426</c:v>
                </c:pt>
                <c:pt idx="19">
                  <c:v>2.0370768789443487</c:v>
                </c:pt>
                <c:pt idx="20">
                  <c:v>3.1956497552291943</c:v>
                </c:pt>
                <c:pt idx="21">
                  <c:v>4.2824177982269109</c:v>
                </c:pt>
                <c:pt idx="22">
                  <c:v>15.147305312016504</c:v>
                </c:pt>
                <c:pt idx="23">
                  <c:v>15.429132783104748</c:v>
                </c:pt>
                <c:pt idx="24">
                  <c:v>1.1824949277956796</c:v>
                </c:pt>
                <c:pt idx="25">
                  <c:v>1.7544781070322866</c:v>
                </c:pt>
                <c:pt idx="26">
                  <c:v>2.589285714285714</c:v>
                </c:pt>
                <c:pt idx="27">
                  <c:v>3.4958791208791204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9B-40CB-9C40-38F73A4E6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2181919"/>
        <c:axId val="1192157375"/>
      </c:scatterChart>
      <c:valAx>
        <c:axId val="11921819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157375"/>
        <c:crosses val="autoZero"/>
        <c:crossBetween val="midCat"/>
      </c:valAx>
      <c:valAx>
        <c:axId val="1192157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2181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Middle Beads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'bead size 04122020'!$O$28:$O$51</c:f>
              <c:numCache>
                <c:formatCode>General</c:formatCode>
                <c:ptCount val="2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18.5</c:v>
                </c:pt>
                <c:pt idx="5">
                  <c:v>19.7</c:v>
                </c:pt>
                <c:pt idx="6">
                  <c:v>0.5</c:v>
                </c:pt>
                <c:pt idx="7">
                  <c:v>1</c:v>
                </c:pt>
                <c:pt idx="8">
                  <c:v>1.5</c:v>
                </c:pt>
                <c:pt idx="9">
                  <c:v>2</c:v>
                </c:pt>
                <c:pt idx="10">
                  <c:v>18.5</c:v>
                </c:pt>
                <c:pt idx="11">
                  <c:v>19.7</c:v>
                </c:pt>
                <c:pt idx="12">
                  <c:v>0.5</c:v>
                </c:pt>
                <c:pt idx="13">
                  <c:v>1</c:v>
                </c:pt>
                <c:pt idx="14">
                  <c:v>1.5</c:v>
                </c:pt>
                <c:pt idx="15">
                  <c:v>2</c:v>
                </c:pt>
                <c:pt idx="16">
                  <c:v>18.5</c:v>
                </c:pt>
                <c:pt idx="17">
                  <c:v>19.7</c:v>
                </c:pt>
                <c:pt idx="18">
                  <c:v>0.5</c:v>
                </c:pt>
                <c:pt idx="19">
                  <c:v>1</c:v>
                </c:pt>
                <c:pt idx="20">
                  <c:v>1.5</c:v>
                </c:pt>
                <c:pt idx="21">
                  <c:v>2</c:v>
                </c:pt>
                <c:pt idx="22">
                  <c:v>18.5</c:v>
                </c:pt>
                <c:pt idx="23">
                  <c:v>19.7</c:v>
                </c:pt>
              </c:numCache>
            </c:numRef>
          </c:xVal>
          <c:yVal>
            <c:numRef>
              <c:f>'bead size 04122020'!$P$28:$P$51</c:f>
              <c:numCache>
                <c:formatCode>0.000</c:formatCode>
                <c:ptCount val="24"/>
                <c:pt idx="0">
                  <c:v>1.6316655023867734</c:v>
                </c:pt>
                <c:pt idx="1">
                  <c:v>2.595268006700167</c:v>
                </c:pt>
                <c:pt idx="2">
                  <c:v>4.2629551820728295</c:v>
                </c:pt>
                <c:pt idx="3">
                  <c:v>5.5189732142857144</c:v>
                </c:pt>
                <c:pt idx="4">
                  <c:v>25.605158730158731</c:v>
                </c:pt>
                <c:pt idx="5">
                  <c:v>25.677346302346304</c:v>
                </c:pt>
                <c:pt idx="6">
                  <c:v>1.4180761742516426</c:v>
                </c:pt>
                <c:pt idx="7">
                  <c:v>2.0370768789443487</c:v>
                </c:pt>
                <c:pt idx="8">
                  <c:v>3.1956497552291943</c:v>
                </c:pt>
                <c:pt idx="9">
                  <c:v>4.2824177982269109</c:v>
                </c:pt>
                <c:pt idx="10">
                  <c:v>15.147305312016504</c:v>
                </c:pt>
                <c:pt idx="11">
                  <c:v>15.429132783104748</c:v>
                </c:pt>
                <c:pt idx="12">
                  <c:v>1.1824949277956796</c:v>
                </c:pt>
                <c:pt idx="13">
                  <c:v>1.7544781070322866</c:v>
                </c:pt>
                <c:pt idx="14">
                  <c:v>2.589285714285714</c:v>
                </c:pt>
                <c:pt idx="15">
                  <c:v>3.4958791208791204</c:v>
                </c:pt>
                <c:pt idx="16">
                  <c:v>12.529761904761905</c:v>
                </c:pt>
                <c:pt idx="17">
                  <c:v>12.562390542907181</c:v>
                </c:pt>
                <c:pt idx="18">
                  <c:v>0.80357142857142849</c:v>
                </c:pt>
                <c:pt idx="19">
                  <c:v>1.3842560251484457</c:v>
                </c:pt>
                <c:pt idx="20">
                  <c:v>1.7886452018757861</c:v>
                </c:pt>
                <c:pt idx="21">
                  <c:v>2.2266018537175096</c:v>
                </c:pt>
                <c:pt idx="22">
                  <c:v>4.9495084103293054</c:v>
                </c:pt>
                <c:pt idx="23">
                  <c:v>4.9129557680812912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0C-4BEF-AC29-55A6B3C38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7455055"/>
        <c:axId val="1237457551"/>
      </c:scatterChart>
      <c:valAx>
        <c:axId val="1237455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7457551"/>
        <c:crosses val="autoZero"/>
        <c:crossBetween val="midCat"/>
      </c:valAx>
      <c:valAx>
        <c:axId val="1237457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74550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'old_biotransf4 21102020'!$K$26</c:f>
              <c:strCache>
                <c:ptCount val="1"/>
                <c:pt idx="0">
                  <c:v>Free UPO</c:v>
                </c:pt>
              </c:strCache>
            </c:strRef>
          </c:tx>
          <c:spPr>
            <a:ln w="63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minus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'old_biotransf4 21102020'!$N$27:$Q$27</c:f>
                <c:numCache>
                  <c:formatCode>General</c:formatCode>
                  <c:ptCount val="4"/>
                  <c:pt idx="0">
                    <c:v>0.22240574489430789</c:v>
                  </c:pt>
                  <c:pt idx="1">
                    <c:v>9.7004508793085767E-2</c:v>
                  </c:pt>
                  <c:pt idx="2">
                    <c:v>0.16720090130495055</c:v>
                  </c:pt>
                  <c:pt idx="3">
                    <c:v>0.12991970439074871</c:v>
                  </c:pt>
                </c:numCache>
              </c:numRef>
            </c:plus>
            <c:minus>
              <c:numRef>
                <c:f>'old_biotransf4 21102020'!$N$27:$Q$27</c:f>
                <c:numCache>
                  <c:formatCode>General</c:formatCode>
                  <c:ptCount val="4"/>
                  <c:pt idx="0">
                    <c:v>0.22240574489430789</c:v>
                  </c:pt>
                  <c:pt idx="1">
                    <c:v>9.7004508793085767E-2</c:v>
                  </c:pt>
                  <c:pt idx="2">
                    <c:v>0.16720090130495055</c:v>
                  </c:pt>
                  <c:pt idx="3">
                    <c:v>0.12991970439074871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'old_biotransf4 21102020'!$N$25:$Q$25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'old_biotransf4 21102020'!$N$26:$Q$26</c:f>
              <c:numCache>
                <c:formatCode>General</c:formatCode>
                <c:ptCount val="4"/>
                <c:pt idx="0">
                  <c:v>4.2177353896103895</c:v>
                </c:pt>
                <c:pt idx="1">
                  <c:v>8.1845844917129789</c:v>
                </c:pt>
                <c:pt idx="2">
                  <c:v>12.726940785932996</c:v>
                </c:pt>
                <c:pt idx="3">
                  <c:v>16.857537657920311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7A-47E8-AEFC-C410468338EA}"/>
            </c:ext>
          </c:extLst>
        </c:ser>
        <c:ser>
          <c:idx val="1"/>
          <c:order val="1"/>
          <c:tx>
            <c:strRef>
              <c:f>'old_biotransf4 21102020'!$K$30</c:f>
              <c:strCache>
                <c:ptCount val="1"/>
                <c:pt idx="0">
                  <c:v>Beads with free UPO </c:v>
                </c:pt>
              </c:strCache>
            </c:strRef>
          </c:tx>
          <c:spPr>
            <a:ln w="63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'old_biotransf4 21102020'!$N$25:$Q$25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'old_biotransf4 21102020'!$N$30:$Q$30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17A-47E8-AEFC-C410468338EA}"/>
            </c:ext>
          </c:extLst>
        </c:ser>
        <c:ser>
          <c:idx val="3"/>
          <c:order val="2"/>
          <c:tx>
            <c:strRef>
              <c:f>'old_biotransf4 21102020'!$K$28</c:f>
              <c:strCache>
                <c:ptCount val="1"/>
                <c:pt idx="0">
                  <c:v>Beads with aggregated UPO</c:v>
                </c:pt>
              </c:strCache>
            </c:strRef>
          </c:tx>
          <c:spPr>
            <a:ln w="63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'old_biotransf4 21102020'!$N$29:$Q$29</c:f>
                <c:numCache>
                  <c:formatCode>General</c:formatCode>
                  <c:ptCount val="4"/>
                  <c:pt idx="0">
                    <c:v>3.4460349877670722E-2</c:v>
                  </c:pt>
                  <c:pt idx="1">
                    <c:v>0.12156746057973372</c:v>
                  </c:pt>
                  <c:pt idx="2">
                    <c:v>0.13046020239052561</c:v>
                  </c:pt>
                  <c:pt idx="3">
                    <c:v>0.18770524621723148</c:v>
                  </c:pt>
                </c:numCache>
              </c:numRef>
            </c:plus>
            <c:minus>
              <c:numRef>
                <c:f>'old_biotransf4 21102020'!$N$29:$Q$29</c:f>
                <c:numCache>
                  <c:formatCode>General</c:formatCode>
                  <c:ptCount val="4"/>
                  <c:pt idx="0">
                    <c:v>3.4460349877670722E-2</c:v>
                  </c:pt>
                  <c:pt idx="1">
                    <c:v>0.12156746057973372</c:v>
                  </c:pt>
                  <c:pt idx="2">
                    <c:v>0.13046020239052561</c:v>
                  </c:pt>
                  <c:pt idx="3">
                    <c:v>0.18770524621723148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'old_biotransf4 21102020'!$N$25:$Q$25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'old_biotransf4 21102020'!$N$28:$Q$28</c:f>
              <c:numCache>
                <c:formatCode>General</c:formatCode>
                <c:ptCount val="4"/>
                <c:pt idx="0">
                  <c:v>2.5703628180762328</c:v>
                </c:pt>
                <c:pt idx="1">
                  <c:v>4.2606941530506282</c:v>
                </c:pt>
                <c:pt idx="2">
                  <c:v>6.4240945318805487</c:v>
                </c:pt>
                <c:pt idx="3">
                  <c:v>8.3454469507101088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17A-47E8-AEFC-C41046833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6419888"/>
        <c:axId val="8360784"/>
      </c:scatterChart>
      <c:valAx>
        <c:axId val="306419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60784"/>
        <c:crosses val="autoZero"/>
        <c:crossBetween val="midCat"/>
        <c:majorUnit val="1"/>
      </c:valAx>
      <c:valAx>
        <c:axId val="836078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Styrene oxide</a:t>
                </a:r>
                <a:r>
                  <a:rPr lang="en-GB" baseline="0"/>
                  <a:t> [mM]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41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Free UPO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'bead size 04122020'!$O$40:$O$59</c:f>
              <c:numCache>
                <c:formatCode>General</c:formatCode>
                <c:ptCount val="20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18.5</c:v>
                </c:pt>
                <c:pt idx="5">
                  <c:v>19.7</c:v>
                </c:pt>
                <c:pt idx="6">
                  <c:v>0.5</c:v>
                </c:pt>
                <c:pt idx="7">
                  <c:v>1</c:v>
                </c:pt>
                <c:pt idx="8">
                  <c:v>1.5</c:v>
                </c:pt>
                <c:pt idx="9">
                  <c:v>2</c:v>
                </c:pt>
                <c:pt idx="10">
                  <c:v>18.5</c:v>
                </c:pt>
                <c:pt idx="11">
                  <c:v>19.7</c:v>
                </c:pt>
              </c:numCache>
            </c:numRef>
          </c:xVal>
          <c:yVal>
            <c:numRef>
              <c:f>'bead size 04122020'!$P$40:$P$59</c:f>
              <c:numCache>
                <c:formatCode>0.000</c:formatCode>
                <c:ptCount val="20"/>
                <c:pt idx="0">
                  <c:v>1.1824949277956796</c:v>
                </c:pt>
                <c:pt idx="1">
                  <c:v>1.7544781070322866</c:v>
                </c:pt>
                <c:pt idx="2">
                  <c:v>2.589285714285714</c:v>
                </c:pt>
                <c:pt idx="3">
                  <c:v>3.4958791208791204</c:v>
                </c:pt>
                <c:pt idx="4">
                  <c:v>12.529761904761905</c:v>
                </c:pt>
                <c:pt idx="5">
                  <c:v>12.562390542907181</c:v>
                </c:pt>
                <c:pt idx="6">
                  <c:v>0.80357142857142849</c:v>
                </c:pt>
                <c:pt idx="7">
                  <c:v>1.3842560251484457</c:v>
                </c:pt>
                <c:pt idx="8">
                  <c:v>1.7886452018757861</c:v>
                </c:pt>
                <c:pt idx="9">
                  <c:v>2.2266018537175096</c:v>
                </c:pt>
                <c:pt idx="10">
                  <c:v>4.9495084103293054</c:v>
                </c:pt>
                <c:pt idx="11">
                  <c:v>4.9129557680812912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05A-4C10-A5EF-08A9E6D60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298303"/>
        <c:axId val="1190302879"/>
      </c:scatterChart>
      <c:valAx>
        <c:axId val="1190298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0302879"/>
        <c:crosses val="autoZero"/>
        <c:crossBetween val="midCat"/>
      </c:valAx>
      <c:valAx>
        <c:axId val="1190302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0298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50 mg beads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85040240391137"/>
          <c:y val="0.15517944248941146"/>
          <c:w val="0.84839812666595993"/>
          <c:h val="0.6653093855124053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'bead size 04122020'!$V$37</c:f>
              <c:strCache>
                <c:ptCount val="1"/>
                <c:pt idx="0">
                  <c:v>3 mm beads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'bead size 04122020'!$U$38:$U$43</c:f>
              <c:numCache>
                <c:formatCode>General</c:formatCode>
                <c:ptCount val="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18.5</c:v>
                </c:pt>
                <c:pt idx="5">
                  <c:v>19.7</c:v>
                </c:pt>
              </c:numCache>
            </c:numRef>
          </c:xVal>
          <c:yVal>
            <c:numRef>
              <c:f>'bead size 04122020'!$V$38:$V$43</c:f>
              <c:numCache>
                <c:formatCode>General</c:formatCode>
                <c:ptCount val="6"/>
                <c:pt idx="0">
                  <c:v>1.4372119815668203</c:v>
                </c:pt>
                <c:pt idx="1">
                  <c:v>2.3054337378349152</c:v>
                </c:pt>
                <c:pt idx="2">
                  <c:v>3.4765450067174206</c:v>
                </c:pt>
                <c:pt idx="3">
                  <c:v>4.795966865833786</c:v>
                </c:pt>
                <c:pt idx="4">
                  <c:v>17.360887595939587</c:v>
                </c:pt>
                <c:pt idx="5">
                  <c:v>17.302812171475299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C8-4C44-B17B-50249CDC8AE3}"/>
            </c:ext>
          </c:extLst>
        </c:ser>
        <c:ser>
          <c:idx val="1"/>
          <c:order val="1"/>
          <c:tx>
            <c:strRef>
              <c:f>'bead size 04122020'!$W$37</c:f>
              <c:strCache>
                <c:ptCount val="1"/>
                <c:pt idx="0">
                  <c:v>150 um nozzle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'bead size 04122020'!$U$38:$U$43</c:f>
              <c:numCache>
                <c:formatCode>General</c:formatCode>
                <c:ptCount val="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18.5</c:v>
                </c:pt>
                <c:pt idx="5">
                  <c:v>19.7</c:v>
                </c:pt>
              </c:numCache>
            </c:numRef>
          </c:xVal>
          <c:yVal>
            <c:numRef>
              <c:f>'bead size 04122020'!$W$38:$W$43</c:f>
              <c:numCache>
                <c:formatCode>General</c:formatCode>
                <c:ptCount val="6"/>
                <c:pt idx="0">
                  <c:v>1.6316655023867734</c:v>
                </c:pt>
                <c:pt idx="1">
                  <c:v>2.595268006700167</c:v>
                </c:pt>
                <c:pt idx="2">
                  <c:v>4.2629551820728295</c:v>
                </c:pt>
                <c:pt idx="3">
                  <c:v>5.5189732142857144</c:v>
                </c:pt>
                <c:pt idx="4">
                  <c:v>25.605158730158731</c:v>
                </c:pt>
                <c:pt idx="5">
                  <c:v>25.677346302346304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DC8-4C44-B17B-50249CDC8AE3}"/>
            </c:ext>
          </c:extLst>
        </c:ser>
        <c:ser>
          <c:idx val="2"/>
          <c:order val="2"/>
          <c:tx>
            <c:strRef>
              <c:f>'bead size 04122020'!$X$37</c:f>
              <c:strCache>
                <c:ptCount val="1"/>
                <c:pt idx="0">
                  <c:v>100 um nozzle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'bead size 04122020'!$U$38:$U$43</c:f>
              <c:numCache>
                <c:formatCode>General</c:formatCode>
                <c:ptCount val="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18.5</c:v>
                </c:pt>
                <c:pt idx="5">
                  <c:v>19.7</c:v>
                </c:pt>
              </c:numCache>
            </c:numRef>
          </c:xVal>
          <c:yVal>
            <c:numRef>
              <c:f>'bead size 04122020'!$X$38:$X$43</c:f>
              <c:numCache>
                <c:formatCode>General</c:formatCode>
                <c:ptCount val="6"/>
                <c:pt idx="0">
                  <c:v>1.4469761499148208</c:v>
                </c:pt>
                <c:pt idx="1">
                  <c:v>2.1693705572116486</c:v>
                </c:pt>
                <c:pt idx="2">
                  <c:v>3.4774925595238093</c:v>
                </c:pt>
                <c:pt idx="3">
                  <c:v>4.702450327450328</c:v>
                </c:pt>
                <c:pt idx="4">
                  <c:v>20.064202102245584</c:v>
                </c:pt>
                <c:pt idx="5">
                  <c:v>20.128631961259082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DC8-4C44-B17B-50249CDC8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305791"/>
        <c:axId val="1190303711"/>
      </c:scatterChart>
      <c:valAx>
        <c:axId val="1190305791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0303711"/>
        <c:crosses val="autoZero"/>
        <c:crossBetween val="midCat"/>
      </c:valAx>
      <c:valAx>
        <c:axId val="1190303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styrene</a:t>
                </a:r>
                <a:r>
                  <a:rPr lang="en-GB" baseline="0"/>
                  <a:t> oxide [mM]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0305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39070800493938"/>
          <c:y val="0.17990258889040697"/>
          <c:w val="0.23146610590522451"/>
          <c:h val="0.196378285963273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25 mg beads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1722702077644"/>
          <c:y val="0.17393791241862405"/>
          <c:w val="0.81906327593329165"/>
          <c:h val="0.6418612981008895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'bead size 04122020'!$AH$37</c:f>
              <c:strCache>
                <c:ptCount val="1"/>
                <c:pt idx="0">
                  <c:v>3 mm beads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'bead size 04122020'!$U$38:$U$43</c:f>
              <c:numCache>
                <c:formatCode>General</c:formatCode>
                <c:ptCount val="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18.5</c:v>
                </c:pt>
                <c:pt idx="5">
                  <c:v>19.7</c:v>
                </c:pt>
              </c:numCache>
            </c:numRef>
          </c:xVal>
          <c:yVal>
            <c:numRef>
              <c:f>'bead size 04122020'!$AH$38:$AH$43</c:f>
              <c:numCache>
                <c:formatCode>General</c:formatCode>
                <c:ptCount val="6"/>
                <c:pt idx="0">
                  <c:v>1.1062348668280872</c:v>
                </c:pt>
                <c:pt idx="1">
                  <c:v>1.7865616911130284</c:v>
                </c:pt>
                <c:pt idx="2">
                  <c:v>2.5665377616014555</c:v>
                </c:pt>
                <c:pt idx="3">
                  <c:v>3.4089578454332554</c:v>
                </c:pt>
                <c:pt idx="4">
                  <c:v>10.51906779661017</c:v>
                </c:pt>
                <c:pt idx="5">
                  <c:v>10.722631645250694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EB-43F7-A77B-D282F17910A3}"/>
            </c:ext>
          </c:extLst>
        </c:ser>
        <c:ser>
          <c:idx val="1"/>
          <c:order val="1"/>
          <c:tx>
            <c:strRef>
              <c:f>'bead size 04122020'!$AI$37</c:f>
              <c:strCache>
                <c:ptCount val="1"/>
                <c:pt idx="0">
                  <c:v>150 um nozzle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'bead size 04122020'!$U$38:$U$43</c:f>
              <c:numCache>
                <c:formatCode>General</c:formatCode>
                <c:ptCount val="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18.5</c:v>
                </c:pt>
                <c:pt idx="5">
                  <c:v>19.7</c:v>
                </c:pt>
              </c:numCache>
            </c:numRef>
          </c:xVal>
          <c:yVal>
            <c:numRef>
              <c:f>'bead size 04122020'!$AI$38:$AI$43</c:f>
              <c:numCache>
                <c:formatCode>General</c:formatCode>
                <c:ptCount val="6"/>
                <c:pt idx="0">
                  <c:v>1.4180761742516426</c:v>
                </c:pt>
                <c:pt idx="1">
                  <c:v>2.0370768789443487</c:v>
                </c:pt>
                <c:pt idx="2">
                  <c:v>3.1956497552291943</c:v>
                </c:pt>
                <c:pt idx="3">
                  <c:v>4.2824177982269109</c:v>
                </c:pt>
                <c:pt idx="4">
                  <c:v>15.147305312016504</c:v>
                </c:pt>
                <c:pt idx="5">
                  <c:v>15.429132783104748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0EB-43F7-A77B-D282F17910A3}"/>
            </c:ext>
          </c:extLst>
        </c:ser>
        <c:ser>
          <c:idx val="2"/>
          <c:order val="2"/>
          <c:tx>
            <c:strRef>
              <c:f>'bead size 04122020'!$AJ$37</c:f>
              <c:strCache>
                <c:ptCount val="1"/>
                <c:pt idx="0">
                  <c:v>100 um nozzle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'bead size 04122020'!$U$38:$U$43</c:f>
              <c:numCache>
                <c:formatCode>General</c:formatCode>
                <c:ptCount val="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18.5</c:v>
                </c:pt>
                <c:pt idx="5">
                  <c:v>19.7</c:v>
                </c:pt>
              </c:numCache>
            </c:numRef>
          </c:xVal>
          <c:yVal>
            <c:numRef>
              <c:f>'bead size 04122020'!$AJ$38:$AJ$43</c:f>
              <c:numCache>
                <c:formatCode>General</c:formatCode>
                <c:ptCount val="6"/>
                <c:pt idx="0">
                  <c:v>1.6314505978602896</c:v>
                </c:pt>
                <c:pt idx="1">
                  <c:v>1.9272503265645411</c:v>
                </c:pt>
                <c:pt idx="2">
                  <c:v>2.6066486804145748</c:v>
                </c:pt>
                <c:pt idx="3">
                  <c:v>3.4456997084548107</c:v>
                </c:pt>
                <c:pt idx="4">
                  <c:v>10.101221887171754</c:v>
                </c:pt>
                <c:pt idx="5">
                  <c:v>10.113434163701067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0EB-43F7-A77B-D282F1791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305791"/>
        <c:axId val="1190303711"/>
      </c:scatterChart>
      <c:valAx>
        <c:axId val="1190305791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[h]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0303711"/>
        <c:crosses val="autoZero"/>
        <c:crossBetween val="midCat"/>
      </c:valAx>
      <c:valAx>
        <c:axId val="1190303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styrene</a:t>
                </a:r>
                <a:r>
                  <a:rPr lang="en-GB" baseline="0"/>
                  <a:t> oxide [mM]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03057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431186593621928"/>
          <c:y val="0.20799241817853537"/>
          <c:w val="0.23385676655394422"/>
          <c:h val="0.201067903445576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GC calibration</a:t>
            </a:r>
            <a:r>
              <a:rPr lang="de-CH" baseline="0"/>
              <a:t> curve styrene oxide</a:t>
            </a:r>
            <a:endParaRPr lang="de-CH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'calibration curve 20_10_2020'!$O$7:$O$14</c:f>
              <c:numCache>
                <c:formatCode>General</c:formatCode>
                <c:ptCount val="8"/>
                <c:pt idx="0">
                  <c:v>250</c:v>
                </c:pt>
                <c:pt idx="1">
                  <c:v>125</c:v>
                </c:pt>
                <c:pt idx="2">
                  <c:v>62.5</c:v>
                </c:pt>
                <c:pt idx="3">
                  <c:v>31.25</c:v>
                </c:pt>
                <c:pt idx="4">
                  <c:v>15.625</c:v>
                </c:pt>
                <c:pt idx="5">
                  <c:v>7.8125</c:v>
                </c:pt>
                <c:pt idx="6">
                  <c:v>3.90625</c:v>
                </c:pt>
                <c:pt idx="7">
                  <c:v>1.953125</c:v>
                </c:pt>
              </c:numCache>
            </c:numRef>
          </c:xVal>
          <c:yVal>
            <c:numRef>
              <c:f>'calibration curve 20_10_2020'!$R$7:$R$14</c:f>
              <c:numCache>
                <c:formatCode>0.00</c:formatCode>
                <c:ptCount val="8"/>
                <c:pt idx="0">
                  <c:v>1.3908088235294116</c:v>
                </c:pt>
                <c:pt idx="1">
                  <c:v>0.67928772973385187</c:v>
                </c:pt>
                <c:pt idx="2">
                  <c:v>0.33503466411666272</c:v>
                </c:pt>
                <c:pt idx="3">
                  <c:v>0.16701506719152981</c:v>
                </c:pt>
                <c:pt idx="4">
                  <c:v>8.2321428571428573E-2</c:v>
                </c:pt>
                <c:pt idx="5">
                  <c:v>4.1342402123424021E-2</c:v>
                </c:pt>
                <c:pt idx="6">
                  <c:v>2.2134954028362165E-2</c:v>
                </c:pt>
                <c:pt idx="7">
                  <c:v>1.1828438465449141E-2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906-4BE5-9256-6CC3C019B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996527"/>
        <c:axId val="51499694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'calibration curve 20_10_2020'!$O$7:$O$14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250</c:v>
                      </c:pt>
                      <c:pt idx="1">
                        <c:v>125</c:v>
                      </c:pt>
                      <c:pt idx="2">
                        <c:v>62.5</c:v>
                      </c:pt>
                      <c:pt idx="3">
                        <c:v>31.25</c:v>
                      </c:pt>
                      <c:pt idx="4">
                        <c:v>15.625</c:v>
                      </c:pt>
                      <c:pt idx="5">
                        <c:v>7.8125</c:v>
                      </c:pt>
                      <c:pt idx="6">
                        <c:v>3.90625</c:v>
                      </c:pt>
                      <c:pt idx="7">
                        <c:v>1.953125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'calibration curve 20_10_2020'!$P$7:$P$14</c15:sqref>
                        </c15:formulaRef>
                      </c:ext>
                    </c:extLst>
                    <c:numCache>
                      <c:formatCode>0.000</c:formatCode>
                      <c:ptCount val="8"/>
                      <c:pt idx="0" formatCode="0.00">
                        <c:v>1.4816176470588234</c:v>
                      </c:pt>
                      <c:pt idx="1">
                        <c:v>0.70609318996415771</c:v>
                      </c:pt>
                      <c:pt idx="2">
                        <c:v>0.34609929078014184</c:v>
                      </c:pt>
                      <c:pt idx="3">
                        <c:v>0.17553956834532372</c:v>
                      </c:pt>
                      <c:pt idx="4" formatCode="0.0000">
                        <c:v>8.5714285714285701E-2</c:v>
                      </c:pt>
                      <c:pt idx="5" formatCode="0.0000">
                        <c:v>4.4363636363636362E-2</c:v>
                      </c:pt>
                      <c:pt idx="6" formatCode="0.0000">
                        <c:v>2.3768115942028985E-2</c:v>
                      </c:pt>
                      <c:pt idx="7" formatCode="0.0000">
                        <c:v>1.2197802197802199E-2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8906-4BE5-9256-6CC3C019B3E4}"/>
                  </c:ext>
                </c:extLst>
              </c15:ser>
            </c15:filteredScatterSeries>
            <c15:filteredScatterSeries>
              <c15:ser>
                <c:idx val="1"/>
                <c:order val="1"/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'calibration curve 20_10_2020'!$O$7:$O$14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250</c:v>
                      </c:pt>
                      <c:pt idx="1">
                        <c:v>125</c:v>
                      </c:pt>
                      <c:pt idx="2">
                        <c:v>62.5</c:v>
                      </c:pt>
                      <c:pt idx="3">
                        <c:v>31.25</c:v>
                      </c:pt>
                      <c:pt idx="4">
                        <c:v>15.625</c:v>
                      </c:pt>
                      <c:pt idx="5">
                        <c:v>7.8125</c:v>
                      </c:pt>
                      <c:pt idx="6">
                        <c:v>3.90625</c:v>
                      </c:pt>
                      <c:pt idx="7">
                        <c:v>1.953125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'calibration curve 20_10_2020'!$Q$7:$Q$14</c15:sqref>
                        </c15:formulaRef>
                      </c:ext>
                    </c:extLst>
                    <c:numCache>
                      <c:formatCode>0.000</c:formatCode>
                      <c:ptCount val="8"/>
                      <c:pt idx="0" formatCode="0.00">
                        <c:v>1.3</c:v>
                      </c:pt>
                      <c:pt idx="1">
                        <c:v>0.65248226950354604</c:v>
                      </c:pt>
                      <c:pt idx="2">
                        <c:v>0.32397003745318353</c:v>
                      </c:pt>
                      <c:pt idx="3">
                        <c:v>0.15849056603773587</c:v>
                      </c:pt>
                      <c:pt idx="4" formatCode="0.0000">
                        <c:v>7.8928571428571431E-2</c:v>
                      </c:pt>
                      <c:pt idx="5" formatCode="0.0000">
                        <c:v>3.8321167883211681E-2</c:v>
                      </c:pt>
                      <c:pt idx="6" formatCode="0.0000">
                        <c:v>2.0501792114695341E-2</c:v>
                      </c:pt>
                      <c:pt idx="7" formatCode="0.0000">
                        <c:v>1.1459074733096085E-2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906-4BE5-9256-6CC3C019B3E4}"/>
                  </c:ext>
                </c:extLst>
              </c15:ser>
            </c15:filteredScatterSeries>
          </c:ext>
        </c:extLst>
      </c:scatterChart>
      <c:valAx>
        <c:axId val="5149965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styrene oxide</a:t>
                </a:r>
                <a:r>
                  <a:rPr lang="de-CH" baseline="0"/>
                  <a:t> conc (mM)</a:t>
                </a:r>
                <a:endParaRPr lang="de-CH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996943"/>
        <c:crosses val="autoZero"/>
        <c:crossBetween val="midCat"/>
      </c:valAx>
      <c:valAx>
        <c:axId val="514996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9965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GC standard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Styreneoxide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8568693730448109E-2"/>
                  <c:y val="0.1772957056282448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('old_calibrationcurve 13_10_2020'!$C$5,'old_calibrationcurve 13_10_2020'!$C$10,'old_calibrationcurve 13_10_2020'!$C$15,'old_calibrationcurve 13_10_2020'!$C$20,'old_calibrationcurve 13_10_2020'!$C$25,'old_calibrationcurve 13_10_2020'!$C$30,'old_calibrationcurve 13_10_2020'!$C$35,'old_calibrationcurve 13_10_2020'!$C$40,'old_calibrationcurve 13_10_2020'!$C$45,'old_calibrationcurve 13_10_2020'!$C$50,'old_calibrationcurve 13_10_2020'!$C$55,'old_calibrationcurve 13_10_2020'!$C$60,'old_calibrationcurve 13_10_2020'!$C$65,'old_calibrationcurve 13_10_2020'!$C$70,'old_calibrationcurve 13_10_2020'!$C$75,'old_calibrationcurve 13_10_2020'!$C$80,'old_calibrationcurve 13_10_2020'!$C$85,'old_calibrationcurve 13_10_2020'!$C$90)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87.557000000000002</c:v>
                </c:pt>
                <c:pt idx="3">
                  <c:v>87.557000000000002</c:v>
                </c:pt>
                <c:pt idx="4">
                  <c:v>175.114</c:v>
                </c:pt>
                <c:pt idx="5">
                  <c:v>175.114</c:v>
                </c:pt>
                <c:pt idx="6">
                  <c:v>875.57</c:v>
                </c:pt>
                <c:pt idx="7">
                  <c:v>875.57</c:v>
                </c:pt>
                <c:pt idx="8">
                  <c:v>4377.8500000000004</c:v>
                </c:pt>
                <c:pt idx="9">
                  <c:v>4377.8500000000004</c:v>
                </c:pt>
                <c:pt idx="10">
                  <c:v>7880.13</c:v>
                </c:pt>
                <c:pt idx="11">
                  <c:v>7880.13</c:v>
                </c:pt>
                <c:pt idx="12">
                  <c:v>8580.5859999999993</c:v>
                </c:pt>
                <c:pt idx="13">
                  <c:v>8580.5859999999993</c:v>
                </c:pt>
                <c:pt idx="14">
                  <c:v>8668.143</c:v>
                </c:pt>
                <c:pt idx="15">
                  <c:v>8668.143</c:v>
                </c:pt>
                <c:pt idx="16">
                  <c:v>8755.7000000000007</c:v>
                </c:pt>
                <c:pt idx="17">
                  <c:v>8755.7000000000007</c:v>
                </c:pt>
              </c:numCache>
            </c:numRef>
          </c:xVal>
          <c:yVal>
            <c:numRef>
              <c:f>('old_calibrationcurve 13_10_2020'!$F$5,'old_calibrationcurve 13_10_2020'!$F$10,'old_calibrationcurve 13_10_2020'!$F$15,'old_calibrationcurve 13_10_2020'!$F$20,'old_calibrationcurve 13_10_2020'!$F$25,'old_calibrationcurve 13_10_2020'!$F$30,'old_calibrationcurve 13_10_2020'!$F$35,'old_calibrationcurve 13_10_2020'!$F$40,'old_calibrationcurve 13_10_2020'!$F$45,'old_calibrationcurve 13_10_2020'!$F$50,'old_calibrationcurve 13_10_2020'!$F$55,'old_calibrationcurve 13_10_2020'!$F$60,'old_calibrationcurve 13_10_2020'!$F$65,'old_calibrationcurve 13_10_2020'!$F$70,'old_calibrationcurve 13_10_2020'!$F$75,'old_calibrationcurve 13_10_2020'!$F$80,'old_calibrationcurve 13_10_2020'!$F$85,'old_calibrationcurve 13_10_2020'!$F$90)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 formatCode="0.00">
                  <c:v>0.35749999999999998</c:v>
                </c:pt>
                <c:pt idx="3" formatCode="0.00">
                  <c:v>0.35</c:v>
                </c:pt>
                <c:pt idx="4" formatCode="0.00">
                  <c:v>0.37662337662337658</c:v>
                </c:pt>
                <c:pt idx="5" formatCode="0.00">
                  <c:v>0.35714285714285715</c:v>
                </c:pt>
                <c:pt idx="6" formatCode="0.00">
                  <c:v>2.1406249999999996</c:v>
                </c:pt>
                <c:pt idx="7" formatCode="0.00">
                  <c:v>2.08955223880597</c:v>
                </c:pt>
                <c:pt idx="8" formatCode="0.00">
                  <c:v>9.954545454545455</c:v>
                </c:pt>
                <c:pt idx="9" formatCode="0.00">
                  <c:v>10.112903225806452</c:v>
                </c:pt>
                <c:pt idx="10" formatCode="0.00">
                  <c:v>25.1</c:v>
                </c:pt>
                <c:pt idx="11" formatCode="0.00">
                  <c:v>24.892857142857146</c:v>
                </c:pt>
                <c:pt idx="12" formatCode="0.00">
                  <c:v>32.38095238095238</c:v>
                </c:pt>
                <c:pt idx="13" formatCode="0.00">
                  <c:v>32.682926829268297</c:v>
                </c:pt>
                <c:pt idx="14" formatCode="0.00">
                  <c:v>28.080000000000002</c:v>
                </c:pt>
                <c:pt idx="15" formatCode="0.00">
                  <c:v>27.88095238095238</c:v>
                </c:pt>
                <c:pt idx="16" formatCode="0.00">
                  <c:v>31.805555555555554</c:v>
                </c:pt>
                <c:pt idx="17" formatCode="0.00">
                  <c:v>32.609756097560975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DC8-4230-A172-CF52C2D9E0BD}"/>
            </c:ext>
          </c:extLst>
        </c:ser>
        <c:ser>
          <c:idx val="2"/>
          <c:order val="2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Lit>
              <c:formatCode>General</c:formatCode>
              <c:ptCount val="42"/>
              <c:pt idx="0">
                <c:v>2</c:v>
              </c:pt>
              <c:pt idx="1">
                <c:v>2</c:v>
              </c:pt>
              <c:pt idx="2">
                <c:v>2</c:v>
              </c:pt>
              <c:pt idx="3">
                <c:v>2</c:v>
              </c:pt>
              <c:pt idx="4">
                <c:v>2</c:v>
              </c:pt>
              <c:pt idx="5">
                <c:v>2</c:v>
              </c:pt>
              <c:pt idx="6">
                <c:v>2</c:v>
              </c:pt>
              <c:pt idx="7">
                <c:v>2</c:v>
              </c:pt>
              <c:pt idx="8">
                <c:v>2</c:v>
              </c:pt>
              <c:pt idx="9">
                <c:v>2</c:v>
              </c:pt>
              <c:pt idx="10">
                <c:v>2</c:v>
              </c:pt>
              <c:pt idx="11">
                <c:v>2</c:v>
              </c:pt>
              <c:pt idx="12">
                <c:v>2</c:v>
              </c:pt>
              <c:pt idx="13">
                <c:v>2</c:v>
              </c:pt>
              <c:pt idx="14">
                <c:v>2</c:v>
              </c:pt>
              <c:pt idx="15">
                <c:v>2</c:v>
              </c:pt>
              <c:pt idx="16">
                <c:v>2</c:v>
              </c:pt>
              <c:pt idx="17">
                <c:v>2</c:v>
              </c:pt>
              <c:pt idx="18">
                <c:v>2</c:v>
              </c:pt>
              <c:pt idx="19">
                <c:v>2</c:v>
              </c:pt>
              <c:pt idx="20">
                <c:v>2</c:v>
              </c:pt>
              <c:pt idx="21">
                <c:v>2</c:v>
              </c:pt>
              <c:pt idx="22">
                <c:v>2</c:v>
              </c:pt>
              <c:pt idx="23">
                <c:v>2</c:v>
              </c:pt>
              <c:pt idx="24">
                <c:v>2</c:v>
              </c:pt>
              <c:pt idx="25">
                <c:v>2</c:v>
              </c:pt>
              <c:pt idx="26">
                <c:v>2</c:v>
              </c:pt>
              <c:pt idx="27">
                <c:v>2</c:v>
              </c:pt>
              <c:pt idx="28">
                <c:v>2</c:v>
              </c:pt>
              <c:pt idx="29">
                <c:v>2</c:v>
              </c:pt>
              <c:pt idx="30">
                <c:v>2</c:v>
              </c:pt>
              <c:pt idx="31">
                <c:v>2</c:v>
              </c:pt>
              <c:pt idx="32">
                <c:v>2</c:v>
              </c:pt>
              <c:pt idx="33">
                <c:v>2</c:v>
              </c:pt>
              <c:pt idx="34">
                <c:v>2</c:v>
              </c:pt>
              <c:pt idx="35">
                <c:v>2</c:v>
              </c:pt>
              <c:pt idx="36">
                <c:v>2</c:v>
              </c:pt>
              <c:pt idx="37">
                <c:v>2</c:v>
              </c:pt>
              <c:pt idx="38">
                <c:v>2</c:v>
              </c:pt>
              <c:pt idx="39">
                <c:v>2</c:v>
              </c:pt>
              <c:pt idx="40">
                <c:v>2</c:v>
              </c:pt>
              <c:pt idx="41">
                <c:v>2</c:v>
              </c:pt>
            </c:numLit>
          </c:xVal>
          <c:yVal>
            <c:numRef>
              <c:f>('old_calibrationcurve 13_10_2020'!$E$6,'old_calibrationcurve 13_10_2020'!$E$11,'old_calibrationcurve 13_10_2020'!$E$16,'old_calibrationcurve 13_10_2020'!$E$21,'old_calibrationcurve 13_10_2020'!$E$26,'old_calibrationcurve 13_10_2020'!$E$31,'old_calibrationcurve 13_10_2020'!$E$36,'old_calibrationcurve 13_10_2020'!$E$41,'old_calibrationcurve 13_10_2020'!$E$46,'old_calibrationcurve 13_10_2020'!$E$51,'old_calibrationcurve 13_10_2020'!$E$56,'old_calibrationcurve 13_10_2020'!$E$61,'old_calibrationcurve 13_10_2020'!$E$66,'old_calibrationcurve 13_10_2020'!$E$71,'old_calibrationcurve 13_10_2020'!$E$76,'old_calibrationcurve 13_10_2020'!$E$81,'old_calibrationcurve 13_10_2020'!$E$86,'old_calibrationcurve 13_10_2020'!$E$91)</c:f>
              <c:numCache>
                <c:formatCode>General</c:formatCode>
                <c:ptCount val="18"/>
                <c:pt idx="0">
                  <c:v>2.4</c:v>
                </c:pt>
                <c:pt idx="1">
                  <c:v>3.1</c:v>
                </c:pt>
                <c:pt idx="2">
                  <c:v>4</c:v>
                </c:pt>
                <c:pt idx="3">
                  <c:v>4</c:v>
                </c:pt>
                <c:pt idx="4">
                  <c:v>7.7</c:v>
                </c:pt>
                <c:pt idx="5">
                  <c:v>7</c:v>
                </c:pt>
                <c:pt idx="6">
                  <c:v>6.4</c:v>
                </c:pt>
                <c:pt idx="7">
                  <c:v>6.7</c:v>
                </c:pt>
                <c:pt idx="8">
                  <c:v>6.6</c:v>
                </c:pt>
                <c:pt idx="9">
                  <c:v>6.2</c:v>
                </c:pt>
                <c:pt idx="10">
                  <c:v>5</c:v>
                </c:pt>
                <c:pt idx="11">
                  <c:v>5.6</c:v>
                </c:pt>
                <c:pt idx="12">
                  <c:v>4.2</c:v>
                </c:pt>
                <c:pt idx="13">
                  <c:v>4.0999999999999996</c:v>
                </c:pt>
                <c:pt idx="14">
                  <c:v>5</c:v>
                </c:pt>
                <c:pt idx="15">
                  <c:v>4.2</c:v>
                </c:pt>
                <c:pt idx="16">
                  <c:v>3.6</c:v>
                </c:pt>
                <c:pt idx="17">
                  <c:v>4.0999999999999996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DC8-4230-A172-CF52C2D9E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996527"/>
        <c:axId val="51499694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Styrene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0.11487455309748906"/>
                        <c:y val="4.3703584606523647E-2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('old_calibrationcurve 13_10_2020'!$B$4,'old_calibrationcurve 13_10_2020'!$B$9,'old_calibrationcurve 13_10_2020'!$B$14,'old_calibrationcurve 13_10_2020'!$B$19,'old_calibrationcurve 13_10_2020'!$B$24,'old_calibrationcurve 13_10_2020'!$B$29,'old_calibrationcurve 13_10_2020'!$B$34,'old_calibrationcurve 13_10_2020'!$B$39,'old_calibrationcurve 13_10_2020'!$B$44,'old_calibrationcurve 13_10_2020'!$B$49,'old_calibrationcurve 13_10_2020'!$B$54,'old_calibrationcurve 13_10_2020'!$B$59,'old_calibrationcurve 13_10_2020'!$B$64,'old_calibrationcurve 13_10_2020'!$B$69,'old_calibrationcurve 13_10_2020'!$B$74,'old_calibrationcurve 13_10_2020'!$B$79,'old_calibrationcurve 13_10_2020'!$B$84,'old_calibrationcurve 13_10_2020'!$B$89)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99</c:v>
                      </c:pt>
                      <c:pt idx="3">
                        <c:v>99</c:v>
                      </c:pt>
                      <c:pt idx="4">
                        <c:v>98</c:v>
                      </c:pt>
                      <c:pt idx="5">
                        <c:v>98</c:v>
                      </c:pt>
                      <c:pt idx="6">
                        <c:v>90</c:v>
                      </c:pt>
                      <c:pt idx="7">
                        <c:v>90</c:v>
                      </c:pt>
                      <c:pt idx="8">
                        <c:v>50</c:v>
                      </c:pt>
                      <c:pt idx="9">
                        <c:v>50</c:v>
                      </c:pt>
                      <c:pt idx="10">
                        <c:v>10</c:v>
                      </c:pt>
                      <c:pt idx="11">
                        <c:v>10</c:v>
                      </c:pt>
                      <c:pt idx="12">
                        <c:v>2</c:v>
                      </c:pt>
                      <c:pt idx="13">
                        <c:v>2</c:v>
                      </c:pt>
                      <c:pt idx="14">
                        <c:v>1</c:v>
                      </c:pt>
                      <c:pt idx="15">
                        <c:v>1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('old_calibrationcurve 13_10_2020'!$F$4,'old_calibrationcurve 13_10_2020'!$F$9,'old_calibrationcurve 13_10_2020'!$F$14,'old_calibrationcurve 13_10_2020'!$F$19,'old_calibrationcurve 13_10_2020'!$F$24,'old_calibrationcurve 13_10_2020'!$F$29,'old_calibrationcurve 13_10_2020'!$F$34,'old_calibrationcurve 13_10_2020'!$F$39,'old_calibrationcurve 13_10_2020'!$F$44,'old_calibrationcurve 13_10_2020'!$F$49,'old_calibrationcurve 13_10_2020'!$F$54,'old_calibrationcurve 13_10_2020'!$F$59,'old_calibrationcurve 13_10_2020'!$F$64,'old_calibrationcurve 13_10_2020'!$F$69,'old_calibrationcurve 13_10_2020'!$F$74,'old_calibrationcurve 13_10_2020'!$F$79,'old_calibrationcurve 13_10_2020'!$F$84,'old_calibrationcurve 13_10_2020'!$F$89)</c15:sqref>
                        </c15:formulaRef>
                      </c:ext>
                    </c:extLst>
                    <c:numCache>
                      <c:formatCode>0.00</c:formatCode>
                      <c:ptCount val="18"/>
                      <c:pt idx="0">
                        <c:v>39.666666666666671</c:v>
                      </c:pt>
                      <c:pt idx="1">
                        <c:v>37.935483870967737</c:v>
                      </c:pt>
                      <c:pt idx="2">
                        <c:v>20.774999999999999</c:v>
                      </c:pt>
                      <c:pt idx="3">
                        <c:v>30.324999999999999</c:v>
                      </c:pt>
                      <c:pt idx="4">
                        <c:v>17.701298701298704</c:v>
                      </c:pt>
                      <c:pt idx="5">
                        <c:v>17.100000000000001</c:v>
                      </c:pt>
                      <c:pt idx="6">
                        <c:v>16.171875</c:v>
                      </c:pt>
                      <c:pt idx="7">
                        <c:v>14.522388059701491</c:v>
                      </c:pt>
                      <c:pt idx="8">
                        <c:v>9.2121212121212128</c:v>
                      </c:pt>
                      <c:pt idx="9">
                        <c:v>9.9677419354838701</c:v>
                      </c:pt>
                      <c:pt idx="10">
                        <c:v>2.8</c:v>
                      </c:pt>
                      <c:pt idx="11">
                        <c:v>2.6964285714285716</c:v>
                      </c:pt>
                      <c:pt idx="12">
                        <c:v>0.78571428571428559</c:v>
                      </c:pt>
                      <c:pt idx="13">
                        <c:v>0.80487804878048785</c:v>
                      </c:pt>
                      <c:pt idx="14">
                        <c:v>0.44000000000000006</c:v>
                      </c:pt>
                      <c:pt idx="15">
                        <c:v>0.45238095238095233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0DC8-4230-A172-CF52C2D9E0BD}"/>
                  </c:ext>
                </c:extLst>
              </c15:ser>
            </c15:filteredScatterSeries>
          </c:ext>
        </c:extLst>
      </c:scatterChart>
      <c:valAx>
        <c:axId val="5149965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conc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996943"/>
        <c:crosses val="autoZero"/>
        <c:crossBetween val="midCat"/>
      </c:valAx>
      <c:valAx>
        <c:axId val="514996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Normalized</a:t>
                </a:r>
                <a:r>
                  <a:rPr lang="de-CH" baseline="0"/>
                  <a:t> A</a:t>
                </a:r>
                <a:r>
                  <a:rPr lang="de-CH"/>
                  <a:t>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9965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GC standard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Styreneoxide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8568693730448109E-2"/>
                  <c:y val="0.1772957056282448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('old_calibrationcurve 13_10_2020'!$C$5,'old_calibrationcurve 13_10_2020'!$C$10,'old_calibrationcurve 13_10_2020'!$C$15,'old_calibrationcurve 13_10_2020'!$C$20,'old_calibrationcurve 13_10_2020'!$C$25,'old_calibrationcurve 13_10_2020'!$C$30,'old_calibrationcurve 13_10_2020'!$C$35,'old_calibrationcurve 13_10_2020'!$C$40,'old_calibrationcurve 13_10_2020'!$C$45,'old_calibrationcurve 13_10_2020'!$C$50,'old_calibrationcurve 13_10_2020'!$C$55,'old_calibrationcurve 13_10_2020'!$C$60,'old_calibrationcurve 13_10_2020'!$C$65,'old_calibrationcurve 13_10_2020'!$C$70,'old_calibrationcurve 13_10_2020'!$C$75,'old_calibrationcurve 13_10_2020'!$C$80,'old_calibrationcurve 13_10_2020'!$C$85,'old_calibrationcurve 13_10_2020'!$C$90)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87.557000000000002</c:v>
                </c:pt>
                <c:pt idx="3">
                  <c:v>87.557000000000002</c:v>
                </c:pt>
                <c:pt idx="4">
                  <c:v>175.114</c:v>
                </c:pt>
                <c:pt idx="5">
                  <c:v>175.114</c:v>
                </c:pt>
                <c:pt idx="6">
                  <c:v>875.57</c:v>
                </c:pt>
                <c:pt idx="7">
                  <c:v>875.57</c:v>
                </c:pt>
                <c:pt idx="8">
                  <c:v>4377.8500000000004</c:v>
                </c:pt>
                <c:pt idx="9">
                  <c:v>4377.8500000000004</c:v>
                </c:pt>
                <c:pt idx="10">
                  <c:v>7880.13</c:v>
                </c:pt>
                <c:pt idx="11">
                  <c:v>7880.13</c:v>
                </c:pt>
                <c:pt idx="12">
                  <c:v>8580.5859999999993</c:v>
                </c:pt>
                <c:pt idx="13">
                  <c:v>8580.5859999999993</c:v>
                </c:pt>
                <c:pt idx="14">
                  <c:v>8668.143</c:v>
                </c:pt>
                <c:pt idx="15">
                  <c:v>8668.143</c:v>
                </c:pt>
                <c:pt idx="16">
                  <c:v>8755.7000000000007</c:v>
                </c:pt>
                <c:pt idx="17">
                  <c:v>8755.7000000000007</c:v>
                </c:pt>
              </c:numCache>
            </c:numRef>
          </c:xVal>
          <c:yVal>
            <c:numRef>
              <c:f>('old_calibrationcurve 13_10_2020'!$F$5,'old_calibrationcurve 13_10_2020'!$F$10,'old_calibrationcurve 13_10_2020'!$F$15,'old_calibrationcurve 13_10_2020'!$F$20,'old_calibrationcurve 13_10_2020'!$F$25,'old_calibrationcurve 13_10_2020'!$F$30,'old_calibrationcurve 13_10_2020'!$F$35,'old_calibrationcurve 13_10_2020'!$F$40,'old_calibrationcurve 13_10_2020'!$F$45,'old_calibrationcurve 13_10_2020'!$F$50,'old_calibrationcurve 13_10_2020'!$F$55,'old_calibrationcurve 13_10_2020'!$F$60,'old_calibrationcurve 13_10_2020'!$F$65,'old_calibrationcurve 13_10_2020'!$F$70,'old_calibrationcurve 13_10_2020'!$F$75,'old_calibrationcurve 13_10_2020'!$F$80,'old_calibrationcurve 13_10_2020'!$F$85,'old_calibrationcurve 13_10_2020'!$F$90)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 formatCode="0.00">
                  <c:v>0.35749999999999998</c:v>
                </c:pt>
                <c:pt idx="3" formatCode="0.00">
                  <c:v>0.35</c:v>
                </c:pt>
                <c:pt idx="4" formatCode="0.00">
                  <c:v>0.37662337662337658</c:v>
                </c:pt>
                <c:pt idx="5" formatCode="0.00">
                  <c:v>0.35714285714285715</c:v>
                </c:pt>
                <c:pt idx="6" formatCode="0.00">
                  <c:v>2.1406249999999996</c:v>
                </c:pt>
                <c:pt idx="7" formatCode="0.00">
                  <c:v>2.08955223880597</c:v>
                </c:pt>
                <c:pt idx="8" formatCode="0.00">
                  <c:v>9.954545454545455</c:v>
                </c:pt>
                <c:pt idx="9" formatCode="0.00">
                  <c:v>10.112903225806452</c:v>
                </c:pt>
                <c:pt idx="10" formatCode="0.00">
                  <c:v>25.1</c:v>
                </c:pt>
                <c:pt idx="11" formatCode="0.00">
                  <c:v>24.892857142857146</c:v>
                </c:pt>
                <c:pt idx="12" formatCode="0.00">
                  <c:v>32.38095238095238</c:v>
                </c:pt>
                <c:pt idx="13" formatCode="0.00">
                  <c:v>32.682926829268297</c:v>
                </c:pt>
                <c:pt idx="14" formatCode="0.00">
                  <c:v>28.080000000000002</c:v>
                </c:pt>
                <c:pt idx="15" formatCode="0.00">
                  <c:v>27.88095238095238</c:v>
                </c:pt>
                <c:pt idx="16" formatCode="0.00">
                  <c:v>31.805555555555554</c:v>
                </c:pt>
                <c:pt idx="17" formatCode="0.00">
                  <c:v>32.609756097560975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AF-426A-AE39-ACF09F52C06D}"/>
            </c:ext>
          </c:extLst>
        </c:ser>
        <c:ser>
          <c:idx val="2"/>
          <c:order val="2"/>
          <c:tx>
            <c:v>standard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Lit>
              <c:formatCode>General</c:formatCode>
              <c:ptCount val="42"/>
              <c:pt idx="0">
                <c:v>2</c:v>
              </c:pt>
              <c:pt idx="1">
                <c:v>2</c:v>
              </c:pt>
              <c:pt idx="2">
                <c:v>2</c:v>
              </c:pt>
              <c:pt idx="3">
                <c:v>2</c:v>
              </c:pt>
              <c:pt idx="4">
                <c:v>2</c:v>
              </c:pt>
              <c:pt idx="5">
                <c:v>2</c:v>
              </c:pt>
              <c:pt idx="6">
                <c:v>2</c:v>
              </c:pt>
              <c:pt idx="7">
                <c:v>2</c:v>
              </c:pt>
              <c:pt idx="8">
                <c:v>2</c:v>
              </c:pt>
              <c:pt idx="9">
                <c:v>2</c:v>
              </c:pt>
              <c:pt idx="10">
                <c:v>2</c:v>
              </c:pt>
              <c:pt idx="11">
                <c:v>2</c:v>
              </c:pt>
              <c:pt idx="12">
                <c:v>2</c:v>
              </c:pt>
              <c:pt idx="13">
                <c:v>2</c:v>
              </c:pt>
              <c:pt idx="14">
                <c:v>2</c:v>
              </c:pt>
              <c:pt idx="15">
                <c:v>2</c:v>
              </c:pt>
              <c:pt idx="16">
                <c:v>2</c:v>
              </c:pt>
              <c:pt idx="17">
                <c:v>2</c:v>
              </c:pt>
              <c:pt idx="18">
                <c:v>2</c:v>
              </c:pt>
              <c:pt idx="19">
                <c:v>2</c:v>
              </c:pt>
              <c:pt idx="20">
                <c:v>2</c:v>
              </c:pt>
              <c:pt idx="21">
                <c:v>2</c:v>
              </c:pt>
              <c:pt idx="22">
                <c:v>2</c:v>
              </c:pt>
              <c:pt idx="23">
                <c:v>2</c:v>
              </c:pt>
              <c:pt idx="24">
                <c:v>2</c:v>
              </c:pt>
              <c:pt idx="25">
                <c:v>2</c:v>
              </c:pt>
              <c:pt idx="26">
                <c:v>2</c:v>
              </c:pt>
              <c:pt idx="27">
                <c:v>2</c:v>
              </c:pt>
              <c:pt idx="28">
                <c:v>2</c:v>
              </c:pt>
              <c:pt idx="29">
                <c:v>2</c:v>
              </c:pt>
              <c:pt idx="30">
                <c:v>2</c:v>
              </c:pt>
              <c:pt idx="31">
                <c:v>2</c:v>
              </c:pt>
              <c:pt idx="32">
                <c:v>2</c:v>
              </c:pt>
              <c:pt idx="33">
                <c:v>2</c:v>
              </c:pt>
              <c:pt idx="34">
                <c:v>2</c:v>
              </c:pt>
              <c:pt idx="35">
                <c:v>2</c:v>
              </c:pt>
              <c:pt idx="36">
                <c:v>2</c:v>
              </c:pt>
              <c:pt idx="37">
                <c:v>2</c:v>
              </c:pt>
              <c:pt idx="38">
                <c:v>2</c:v>
              </c:pt>
              <c:pt idx="39">
                <c:v>2</c:v>
              </c:pt>
              <c:pt idx="40">
                <c:v>2</c:v>
              </c:pt>
              <c:pt idx="41">
                <c:v>2</c:v>
              </c:pt>
            </c:numLit>
          </c:xVal>
          <c:yVal>
            <c:numRef>
              <c:f>('old_calibrationcurve 13_10_2020'!$E$6,'old_calibrationcurve 13_10_2020'!$E$11,'old_calibrationcurve 13_10_2020'!$E$16,'old_calibrationcurve 13_10_2020'!$E$21,'old_calibrationcurve 13_10_2020'!$E$26,'old_calibrationcurve 13_10_2020'!$E$31,'old_calibrationcurve 13_10_2020'!$E$36,'old_calibrationcurve 13_10_2020'!$E$41,'old_calibrationcurve 13_10_2020'!$E$46,'old_calibrationcurve 13_10_2020'!$E$51,'old_calibrationcurve 13_10_2020'!$E$56,'old_calibrationcurve 13_10_2020'!$E$61,'old_calibrationcurve 13_10_2020'!$E$66,'old_calibrationcurve 13_10_2020'!$E$71,'old_calibrationcurve 13_10_2020'!$E$76,'old_calibrationcurve 13_10_2020'!$E$81,'old_calibrationcurve 13_10_2020'!$E$86,'old_calibrationcurve 13_10_2020'!$E$91)</c:f>
              <c:numCache>
                <c:formatCode>General</c:formatCode>
                <c:ptCount val="18"/>
                <c:pt idx="0">
                  <c:v>2.4</c:v>
                </c:pt>
                <c:pt idx="1">
                  <c:v>3.1</c:v>
                </c:pt>
                <c:pt idx="2">
                  <c:v>4</c:v>
                </c:pt>
                <c:pt idx="3">
                  <c:v>4</c:v>
                </c:pt>
                <c:pt idx="4">
                  <c:v>7.7</c:v>
                </c:pt>
                <c:pt idx="5">
                  <c:v>7</c:v>
                </c:pt>
                <c:pt idx="6">
                  <c:v>6.4</c:v>
                </c:pt>
                <c:pt idx="7">
                  <c:v>6.7</c:v>
                </c:pt>
                <c:pt idx="8">
                  <c:v>6.6</c:v>
                </c:pt>
                <c:pt idx="9">
                  <c:v>6.2</c:v>
                </c:pt>
                <c:pt idx="10">
                  <c:v>5</c:v>
                </c:pt>
                <c:pt idx="11">
                  <c:v>5.6</c:v>
                </c:pt>
                <c:pt idx="12">
                  <c:v>4.2</c:v>
                </c:pt>
                <c:pt idx="13">
                  <c:v>4.0999999999999996</c:v>
                </c:pt>
                <c:pt idx="14">
                  <c:v>5</c:v>
                </c:pt>
                <c:pt idx="15">
                  <c:v>4.2</c:v>
                </c:pt>
                <c:pt idx="16">
                  <c:v>3.6</c:v>
                </c:pt>
                <c:pt idx="17">
                  <c:v>4.0999999999999996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0AF-426A-AE39-ACF09F52C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996527"/>
        <c:axId val="514996943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Styrene</c:v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trendline>
                  <c:spPr>
                    <a:ln w="19050" cap="rnd">
                      <a:solidFill>
                        <a:schemeClr val="accent1"/>
                      </a:solidFill>
                      <a:prstDash val="sysDot"/>
                    </a:ln>
                    <a:effectLst/>
                  </c:spPr>
                  <c:trendlineType val="linear"/>
                  <c:dispRSqr val="1"/>
                  <c:dispEq val="1"/>
                  <c:trendlineLbl>
                    <c:layout>
                      <c:manualLayout>
                        <c:x val="0.11487455309748906"/>
                        <c:y val="4.3703584606523647E-2"/>
                      </c:manualLayout>
                    </c:layout>
                    <c:numFmt formatCode="General" sourceLinked="0"/>
                    <c:spPr>
                      <a:noFill/>
                      <a:ln>
                        <a:noFill/>
                      </a:ln>
                      <a:effectLst/>
                    </c:spPr>
                    <c:txPr>
                      <a:bodyPr rot="0" spcFirstLastPara="1" vertOverflow="ellipsis" vert="horz" wrap="square" anchor="ctr" anchorCtr="1"/>
                      <a:lstStyle/>
                      <a:p>
                        <a:pPr>
                          <a:defRPr sz="900" b="0" i="0" u="none" strike="noStrike" kern="1200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+mn-lt"/>
                            <a:ea typeface="+mn-ea"/>
                            <a:cs typeface="+mn-cs"/>
                          </a:defRPr>
                        </a:pPr>
                        <a:endParaRPr lang="en-US"/>
                      </a:p>
                    </c:txPr>
                  </c:trendlineLbl>
                </c:trendline>
                <c:xVal>
                  <c:numRef>
                    <c:extLst>
                      <c:ext uri="{02D57815-91ED-43cb-92C2-25804820EDAC}">
                        <c15:formulaRef>
                          <c15:sqref>('old_calibrationcurve 13_10_2020'!$B$4,'old_calibrationcurve 13_10_2020'!$B$9,'old_calibrationcurve 13_10_2020'!$B$14,'old_calibrationcurve 13_10_2020'!$B$19,'old_calibrationcurve 13_10_2020'!$B$24,'old_calibrationcurve 13_10_2020'!$B$29,'old_calibrationcurve 13_10_2020'!$B$34,'old_calibrationcurve 13_10_2020'!$B$39,'old_calibrationcurve 13_10_2020'!$B$44,'old_calibrationcurve 13_10_2020'!$B$49,'old_calibrationcurve 13_10_2020'!$B$54,'old_calibrationcurve 13_10_2020'!$B$59,'old_calibrationcurve 13_10_2020'!$B$64,'old_calibrationcurve 13_10_2020'!$B$69,'old_calibrationcurve 13_10_2020'!$B$74,'old_calibrationcurve 13_10_2020'!$B$79,'old_calibrationcurve 13_10_2020'!$B$84,'old_calibrationcurve 13_10_2020'!$B$89)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99</c:v>
                      </c:pt>
                      <c:pt idx="3">
                        <c:v>99</c:v>
                      </c:pt>
                      <c:pt idx="4">
                        <c:v>98</c:v>
                      </c:pt>
                      <c:pt idx="5">
                        <c:v>98</c:v>
                      </c:pt>
                      <c:pt idx="6">
                        <c:v>90</c:v>
                      </c:pt>
                      <c:pt idx="7">
                        <c:v>90</c:v>
                      </c:pt>
                      <c:pt idx="8">
                        <c:v>50</c:v>
                      </c:pt>
                      <c:pt idx="9">
                        <c:v>50</c:v>
                      </c:pt>
                      <c:pt idx="10">
                        <c:v>10</c:v>
                      </c:pt>
                      <c:pt idx="11">
                        <c:v>10</c:v>
                      </c:pt>
                      <c:pt idx="12">
                        <c:v>2</c:v>
                      </c:pt>
                      <c:pt idx="13">
                        <c:v>2</c:v>
                      </c:pt>
                      <c:pt idx="14">
                        <c:v>1</c:v>
                      </c:pt>
                      <c:pt idx="15">
                        <c:v>1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('old_calibrationcurve 13_10_2020'!$F$4,'old_calibrationcurve 13_10_2020'!$F$9,'old_calibrationcurve 13_10_2020'!$F$14,'old_calibrationcurve 13_10_2020'!$F$19,'old_calibrationcurve 13_10_2020'!$F$24,'old_calibrationcurve 13_10_2020'!$F$29,'old_calibrationcurve 13_10_2020'!$F$34,'old_calibrationcurve 13_10_2020'!$F$39,'old_calibrationcurve 13_10_2020'!$F$44,'old_calibrationcurve 13_10_2020'!$F$49,'old_calibrationcurve 13_10_2020'!$F$54,'old_calibrationcurve 13_10_2020'!$F$59,'old_calibrationcurve 13_10_2020'!$F$64,'old_calibrationcurve 13_10_2020'!$F$69,'old_calibrationcurve 13_10_2020'!$F$74,'old_calibrationcurve 13_10_2020'!$F$79,'old_calibrationcurve 13_10_2020'!$F$84,'old_calibrationcurve 13_10_2020'!$F$89)</c15:sqref>
                        </c15:formulaRef>
                      </c:ext>
                    </c:extLst>
                    <c:numCache>
                      <c:formatCode>0.00</c:formatCode>
                      <c:ptCount val="18"/>
                      <c:pt idx="0">
                        <c:v>39.666666666666671</c:v>
                      </c:pt>
                      <c:pt idx="1">
                        <c:v>37.935483870967737</c:v>
                      </c:pt>
                      <c:pt idx="2">
                        <c:v>20.774999999999999</c:v>
                      </c:pt>
                      <c:pt idx="3">
                        <c:v>30.324999999999999</c:v>
                      </c:pt>
                      <c:pt idx="4">
                        <c:v>17.701298701298704</c:v>
                      </c:pt>
                      <c:pt idx="5">
                        <c:v>17.100000000000001</c:v>
                      </c:pt>
                      <c:pt idx="6">
                        <c:v>16.171875</c:v>
                      </c:pt>
                      <c:pt idx="7">
                        <c:v>14.522388059701491</c:v>
                      </c:pt>
                      <c:pt idx="8">
                        <c:v>9.2121212121212128</c:v>
                      </c:pt>
                      <c:pt idx="9">
                        <c:v>9.9677419354838701</c:v>
                      </c:pt>
                      <c:pt idx="10">
                        <c:v>2.8</c:v>
                      </c:pt>
                      <c:pt idx="11">
                        <c:v>2.6964285714285716</c:v>
                      </c:pt>
                      <c:pt idx="12">
                        <c:v>0.78571428571428559</c:v>
                      </c:pt>
                      <c:pt idx="13">
                        <c:v>0.80487804878048785</c:v>
                      </c:pt>
                      <c:pt idx="14">
                        <c:v>0.44000000000000006</c:v>
                      </c:pt>
                      <c:pt idx="15">
                        <c:v>0.45238095238095233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20AF-426A-AE39-ACF09F52C06D}"/>
                  </c:ext>
                </c:extLst>
              </c15:ser>
            </c15:filteredScatterSeries>
          </c:ext>
        </c:extLst>
      </c:scatterChart>
      <c:valAx>
        <c:axId val="5149965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conc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996943"/>
        <c:crosses val="autoZero"/>
        <c:crossBetween val="midCat"/>
      </c:valAx>
      <c:valAx>
        <c:axId val="514996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Normalized</a:t>
                </a:r>
                <a:r>
                  <a:rPr lang="de-CH" baseline="0"/>
                  <a:t> A</a:t>
                </a:r>
                <a:r>
                  <a:rPr lang="de-CH"/>
                  <a:t>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9965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753758644157309E-2"/>
          <c:y val="0.13079731741478182"/>
          <c:w val="0.90679499667476093"/>
          <c:h val="0.812650423166856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'old_calibrationcurve 13_10_2020'!$L$4:$L$7</c:f>
              <c:numCache>
                <c:formatCode>0.00</c:formatCode>
                <c:ptCount val="4"/>
                <c:pt idx="0" formatCode="General">
                  <c:v>0</c:v>
                </c:pt>
                <c:pt idx="1">
                  <c:v>87.557000000000002</c:v>
                </c:pt>
                <c:pt idx="2" formatCode="General">
                  <c:v>175.114</c:v>
                </c:pt>
                <c:pt idx="3" formatCode="General">
                  <c:v>875.57</c:v>
                </c:pt>
              </c:numCache>
            </c:numRef>
          </c:xVal>
          <c:yVal>
            <c:numRef>
              <c:f>'old_calibrationcurve 13_10_2020'!$M$4:$M$7</c:f>
              <c:numCache>
                <c:formatCode>0.00</c:formatCode>
                <c:ptCount val="4"/>
                <c:pt idx="0" formatCode="General">
                  <c:v>0</c:v>
                </c:pt>
                <c:pt idx="1">
                  <c:v>0.35375000000000001</c:v>
                </c:pt>
                <c:pt idx="2">
                  <c:v>0.36688311688311687</c:v>
                </c:pt>
                <c:pt idx="3">
                  <c:v>2.115088619402985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41-4232-A7D9-442912DFD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154048"/>
        <c:axId val="285213200"/>
      </c:scatterChart>
      <c:valAx>
        <c:axId val="163154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5213200"/>
        <c:crosses val="autoZero"/>
        <c:crossBetween val="midCat"/>
      </c:valAx>
      <c:valAx>
        <c:axId val="28521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54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8276599612545"/>
          <c:y val="8.8982111830698971E-2"/>
          <c:w val="0.84271845012863145"/>
          <c:h val="0.80910461074904094"/>
        </c:manualLayout>
      </c:layout>
      <c:barChart>
        <c:barDir val="col"/>
        <c:grouping val="clustered"/>
        <c:varyColors val="0"/>
        <c:ser>
          <c:idx val="0"/>
          <c:order val="0"/>
          <c:tx>
            <c:v>Free UPO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'old_biotransf2 15102020'!$S$28:$S$29</c:f>
                <c:numCache>
                  <c:formatCode>General</c:formatCode>
                  <c:ptCount val="2"/>
                  <c:pt idx="0">
                    <c:v>0.54041487924815013</c:v>
                  </c:pt>
                  <c:pt idx="1">
                    <c:v>1.4710123071366794</c:v>
                  </c:pt>
                </c:numCache>
              </c:numRef>
            </c:plus>
            <c:minus>
              <c:numRef>
                <c:f>'old_biotransf2 15102020'!$S$28:$S$29</c:f>
                <c:numCache>
                  <c:formatCode>General</c:formatCode>
                  <c:ptCount val="2"/>
                  <c:pt idx="0">
                    <c:v>0.54041487924815013</c:v>
                  </c:pt>
                  <c:pt idx="1">
                    <c:v>1.4710123071366794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neat</c:v>
              </c:pt>
              <c:pt idx="1">
                <c:v>2LPS</c:v>
              </c:pt>
            </c:strLit>
          </c:cat>
          <c:val>
            <c:numRef>
              <c:f>'old_biotransf2 15102020'!$R$28:$R$29</c:f>
              <c:numCache>
                <c:formatCode>0.000</c:formatCode>
                <c:ptCount val="2"/>
                <c:pt idx="0">
                  <c:v>7.5183157158601794</c:v>
                </c:pt>
                <c:pt idx="1">
                  <c:v>30.132863427831388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D1-42CB-9A88-FF4BB0F8BD86}"/>
            </c:ext>
          </c:extLst>
        </c:ser>
        <c:ser>
          <c:idx val="1"/>
          <c:order val="1"/>
          <c:tx>
            <c:v>Encapsulated UPO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'old_biotransf2 15102020'!$S$26:$S$27</c:f>
                <c:numCache>
                  <c:formatCode>General</c:formatCode>
                  <c:ptCount val="2"/>
                  <c:pt idx="0">
                    <c:v>9.0076479258556441E-2</c:v>
                  </c:pt>
                  <c:pt idx="1">
                    <c:v>0.1529381044982229</c:v>
                  </c:pt>
                </c:numCache>
              </c:numRef>
            </c:plus>
            <c:minus>
              <c:numRef>
                <c:f>'old_biotransf2 15102020'!$S$26:$S$27</c:f>
                <c:numCache>
                  <c:formatCode>General</c:formatCode>
                  <c:ptCount val="2"/>
                  <c:pt idx="0">
                    <c:v>9.0076479258556441E-2</c:v>
                  </c:pt>
                  <c:pt idx="1">
                    <c:v>0.1529381044982229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neat</c:v>
              </c:pt>
              <c:pt idx="1">
                <c:v>2LPS</c:v>
              </c:pt>
            </c:strLit>
          </c:cat>
          <c:val>
            <c:numRef>
              <c:f>'old_biotransf2 15102020'!$R$26:$R$27</c:f>
              <c:numCache>
                <c:formatCode>0.000</c:formatCode>
                <c:ptCount val="2"/>
                <c:pt idx="0">
                  <c:v>3.7224015740252057</c:v>
                </c:pt>
                <c:pt idx="1">
                  <c:v>15.39482115710522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D1-42CB-9A88-FF4BB0F8B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67096256"/>
        <c:axId val="505788944"/>
      </c:barChart>
      <c:catAx>
        <c:axId val="106709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788944"/>
        <c:crosses val="autoZero"/>
        <c:auto val="1"/>
        <c:lblAlgn val="ctr"/>
        <c:lblOffset val="100"/>
        <c:noMultiLvlLbl val="0"/>
      </c:catAx>
      <c:valAx>
        <c:axId val="505788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Styrene</a:t>
                </a:r>
                <a:r>
                  <a:rPr lang="en-GB" baseline="0"/>
                  <a:t> Oxide [mM]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3.5647939692734242E-2"/>
              <c:y val="0.364260696160587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7096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46655391151363"/>
          <c:y val="0.11471346463863316"/>
          <c:w val="0.26646365653086512"/>
          <c:h val="0.178536882181519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tBuOOH feed 1.25 mM every 15 min</a:t>
            </a:r>
            <a:r>
              <a:rPr lang="en-GB" baseline="0"/>
              <a:t> </a:t>
            </a:r>
            <a:endParaRPr lang="en-GB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8553281801605752E-2"/>
          <c:y val="0.15198708175440148"/>
          <c:w val="0.84676119588740828"/>
          <c:h val="0.70291293153076773"/>
        </c:manualLayout>
      </c:layout>
      <c:scatterChart>
        <c:scatterStyle val="smoothMarker"/>
        <c:varyColors val="0"/>
        <c:ser>
          <c:idx val="2"/>
          <c:order val="1"/>
          <c:tx>
            <c:v>Beads 0.5 uM</c:v>
          </c:tx>
          <c:xVal>
            <c:numRef>
              <c:f>'feed patterns 26102020'!$O$12:$O$15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</c:numCache>
            </c:numRef>
          </c:xVal>
          <c:yVal>
            <c:numRef>
              <c:f>'feed patterns 26102020'!$P$12:$P$15</c:f>
              <c:numCache>
                <c:formatCode>0.000</c:formatCode>
                <c:ptCount val="4"/>
                <c:pt idx="0">
                  <c:v>1.9825175833045081</c:v>
                </c:pt>
                <c:pt idx="1">
                  <c:v>4.6208068247541938</c:v>
                </c:pt>
                <c:pt idx="2">
                  <c:v>7.4058401276143204</c:v>
                </c:pt>
                <c:pt idx="3">
                  <c:v>9.8842109836635377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15A-445F-9A18-9B652CA8405B}"/>
            </c:ext>
          </c:extLst>
        </c:ser>
        <c:ser>
          <c:idx val="0"/>
          <c:order val="3"/>
          <c:tx>
            <c:v>Free enzyme 0.5 uM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'feed patterns 26102020'!$O$8:$O$11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</c:numCache>
            </c:numRef>
          </c:xVal>
          <c:yVal>
            <c:numRef>
              <c:f>'feed patterns 26102020'!$P$8:$P$11</c:f>
              <c:numCache>
                <c:formatCode>0.000</c:formatCode>
                <c:ptCount val="4"/>
                <c:pt idx="0">
                  <c:v>1.7668981750552133</c:v>
                </c:pt>
                <c:pt idx="1">
                  <c:v>3.0618517898962865</c:v>
                </c:pt>
                <c:pt idx="2">
                  <c:v>4.746836391987526</c:v>
                </c:pt>
                <c:pt idx="3">
                  <c:v>5.8781364658539479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15A-445F-9A18-9B652CA84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217456"/>
        <c:axId val="20781630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v>Beads 1 uM</c:v>
                </c:tx>
                <c:xVal>
                  <c:numRef>
                    <c:extLst>
                      <c:ext uri="{02D57815-91ED-43cb-92C2-25804820EDAC}">
                        <c15:formulaRef>
                          <c15:sqref>'feed patterns 26102020'!$O$4:$O$7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0.5</c:v>
                      </c:pt>
                      <c:pt idx="1">
                        <c:v>1</c:v>
                      </c:pt>
                      <c:pt idx="2">
                        <c:v>1.5</c:v>
                      </c:pt>
                      <c:pt idx="3">
                        <c:v>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'feed patterns 26102020'!$P$4:$P$7</c15:sqref>
                        </c15:formulaRef>
                      </c:ext>
                    </c:extLst>
                    <c:numCache>
                      <c:formatCode>0.000</c:formatCode>
                      <c:ptCount val="4"/>
                      <c:pt idx="0">
                        <c:v>2.5238853503184711</c:v>
                      </c:pt>
                      <c:pt idx="1">
                        <c:v>5.320793337097685</c:v>
                      </c:pt>
                      <c:pt idx="2">
                        <c:v>8.3716694421315569</c:v>
                      </c:pt>
                      <c:pt idx="3">
                        <c:v>11.564067863744388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4-015A-445F-9A18-9B652CA8405B}"/>
                  </c:ext>
                </c:extLst>
              </c15:ser>
            </c15:filteredScatterSeries>
            <c15:filteredScatterSeries>
              <c15:ser>
                <c:idx val="3"/>
                <c:order val="2"/>
                <c:tx>
                  <c:v>Free enzyme 1 uM</c:v>
                </c:tx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'feed patterns 26102020'!$O$16:$O$19</c15:sqref>
                        </c15:formulaRef>
                      </c:ext>
                    </c:extLst>
                    <c:numCache>
                      <c:formatCode>General</c:formatCode>
                      <c:ptCount val="4"/>
                      <c:pt idx="0">
                        <c:v>0.5</c:v>
                      </c:pt>
                      <c:pt idx="1">
                        <c:v>1</c:v>
                      </c:pt>
                      <c:pt idx="2">
                        <c:v>1.5</c:v>
                      </c:pt>
                      <c:pt idx="3">
                        <c:v>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'feed patterns 26102020'!$P$16:$P$19</c15:sqref>
                        </c15:formulaRef>
                      </c:ext>
                    </c:extLst>
                    <c:numCache>
                      <c:formatCode>0.000</c:formatCode>
                      <c:ptCount val="4"/>
                      <c:pt idx="0">
                        <c:v>2.0324650077760498</c:v>
                      </c:pt>
                      <c:pt idx="1">
                        <c:v>3.9091614906832302</c:v>
                      </c:pt>
                      <c:pt idx="2">
                        <c:v>6.1770425127657056</c:v>
                      </c:pt>
                      <c:pt idx="3">
                        <c:v>8.3026733325350257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15A-445F-9A18-9B652CA8405B}"/>
                  </c:ext>
                </c:extLst>
              </c15:ser>
            </c15:filteredScatterSeries>
          </c:ext>
        </c:extLst>
      </c:scatterChart>
      <c:valAx>
        <c:axId val="569217456"/>
        <c:scaling>
          <c:orientation val="minMax"/>
          <c:max val="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[h]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816304"/>
        <c:crosses val="autoZero"/>
        <c:crossBetween val="midCat"/>
        <c:majorUnit val="0.5"/>
      </c:valAx>
      <c:valAx>
        <c:axId val="20781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 baseline="0"/>
                  <a:t>product  [mM]</a:t>
                </a:r>
                <a:endParaRPr lang="en-GB"/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174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0251340527347834"/>
          <c:y val="0.18166140531786348"/>
          <c:w val="0.27880530142680982"/>
          <c:h val="0.15937452885187597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 sz="1800" b="1" i="0" baseline="0">
                <a:effectLst/>
              </a:rPr>
              <a:t>tBuOOH feed 5 mM every 60 min </a:t>
            </a:r>
            <a:endParaRPr lang="en-GB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2964467253933161E-2"/>
          <c:y val="0.15927271944494548"/>
          <c:w val="0.85368921420670085"/>
          <c:h val="0.67687871655150045"/>
        </c:manualLayout>
      </c:layout>
      <c:scatterChart>
        <c:scatterStyle val="smoothMarker"/>
        <c:varyColors val="0"/>
        <c:ser>
          <c:idx val="1"/>
          <c:order val="0"/>
          <c:tx>
            <c:v>Beads 1 uM</c:v>
          </c:tx>
          <c:xVal>
            <c:numRef>
              <c:f>'feed patterns 26102020'!$O$25:$O$28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</c:numCache>
            </c:numRef>
          </c:xVal>
          <c:yVal>
            <c:numRef>
              <c:f>'feed patterns 26102020'!$P$25:$P$28</c:f>
              <c:numCache>
                <c:formatCode>0.000</c:formatCode>
                <c:ptCount val="4"/>
                <c:pt idx="0">
                  <c:v>3.1957812675897781</c:v>
                </c:pt>
                <c:pt idx="1">
                  <c:v>4.1429420421100289</c:v>
                </c:pt>
                <c:pt idx="2">
                  <c:v>8.0765615962984381</c:v>
                </c:pt>
                <c:pt idx="3">
                  <c:v>9.1942771084337345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6B-452E-B818-799CF274EE4D}"/>
            </c:ext>
          </c:extLst>
        </c:ser>
        <c:ser>
          <c:idx val="2"/>
          <c:order val="1"/>
          <c:tx>
            <c:v>Beads 0.5 uM</c:v>
          </c:tx>
          <c:xVal>
            <c:numRef>
              <c:f>'feed patterns 26102020'!$O$33:$O$36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</c:numCache>
            </c:numRef>
          </c:xVal>
          <c:yVal>
            <c:numRef>
              <c:f>'feed patterns 26102020'!$P$33:$P$36</c:f>
              <c:numCache>
                <c:formatCode>0.000</c:formatCode>
                <c:ptCount val="4"/>
                <c:pt idx="0">
                  <c:v>2.6546167247386765</c:v>
                </c:pt>
                <c:pt idx="1">
                  <c:v>3.582289550891447</c:v>
                </c:pt>
                <c:pt idx="2">
                  <c:v>6.8342088273271511</c:v>
                </c:pt>
                <c:pt idx="3">
                  <c:v>8.4263833992094863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86B-452E-B818-799CF274EE4D}"/>
            </c:ext>
          </c:extLst>
        </c:ser>
        <c:ser>
          <c:idx val="3"/>
          <c:order val="2"/>
          <c:tx>
            <c:v>Free enzyme 1 uM</c:v>
          </c:tx>
          <c:xVal>
            <c:numRef>
              <c:f>'feed patterns 26102020'!$O$37:$O$40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</c:numCache>
            </c:numRef>
          </c:xVal>
          <c:yVal>
            <c:numRef>
              <c:f>'feed patterns 26102020'!$P$37:$P$40</c:f>
              <c:numCache>
                <c:formatCode>0.000</c:formatCode>
                <c:ptCount val="4"/>
                <c:pt idx="0">
                  <c:v>2.3982046629275264</c:v>
                </c:pt>
                <c:pt idx="1">
                  <c:v>3.4643568582811612</c:v>
                </c:pt>
                <c:pt idx="2">
                  <c:v>6.1457082833133256</c:v>
                </c:pt>
                <c:pt idx="3">
                  <c:v>7.7422623979169138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86B-452E-B818-799CF274EE4D}"/>
            </c:ext>
          </c:extLst>
        </c:ser>
        <c:ser>
          <c:idx val="0"/>
          <c:order val="3"/>
          <c:tx>
            <c:v>Free enzyme 0.5 uM</c:v>
          </c:tx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'feed patterns 26102020'!$O$29:$O$32</c:f>
              <c:numCache>
                <c:formatCode>General</c:formatCode>
                <c:ptCount val="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</c:numCache>
            </c:numRef>
          </c:xVal>
          <c:yVal>
            <c:numRef>
              <c:f>'feed patterns 26102020'!$P$29:$P$32</c:f>
              <c:numCache>
                <c:formatCode>0.000</c:formatCode>
                <c:ptCount val="4"/>
                <c:pt idx="0">
                  <c:v>2.0934873949579833</c:v>
                </c:pt>
                <c:pt idx="1">
                  <c:v>2.8480641656182089</c:v>
                </c:pt>
                <c:pt idx="2">
                  <c:v>4.692396774562507</c:v>
                </c:pt>
                <c:pt idx="3">
                  <c:v>5.590317587709241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86B-452E-B818-799CF274EE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217456"/>
        <c:axId val="207816304"/>
      </c:scatterChart>
      <c:valAx>
        <c:axId val="569217456"/>
        <c:scaling>
          <c:orientation val="minMax"/>
          <c:max val="2"/>
          <c:min val="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 [h]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816304"/>
        <c:crosses val="autoZero"/>
        <c:crossBetween val="midCat"/>
      </c:valAx>
      <c:valAx>
        <c:axId val="20781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styrene</a:t>
                </a:r>
                <a:r>
                  <a:rPr lang="en-GB" baseline="0"/>
                  <a:t> oxide [mM]</a:t>
                </a:r>
                <a:endParaRPr lang="en-GB"/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174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1360269543300205"/>
          <c:y val="0.18021642197088295"/>
          <c:w val="0.27880530142680982"/>
          <c:h val="0.26865903090402848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mM/h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'feed patterns 26102020'!$AG$5</c:f>
              <c:strCache>
                <c:ptCount val="1"/>
                <c:pt idx="0">
                  <c:v>Free enzyme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'feed patterns 26102020'!$AH$4:$AL$4</c:f>
              <c:strCache>
                <c:ptCount val="5"/>
                <c:pt idx="0">
                  <c:v>5 uM</c:v>
                </c:pt>
                <c:pt idx="1">
                  <c:v>1 uM</c:v>
                </c:pt>
                <c:pt idx="2">
                  <c:v>0.5 uM</c:v>
                </c:pt>
                <c:pt idx="3">
                  <c:v>0.25 uM</c:v>
                </c:pt>
                <c:pt idx="4">
                  <c:v>0.1 uM</c:v>
                </c:pt>
              </c:strCache>
            </c:strRef>
          </c:cat>
          <c:val>
            <c:numRef>
              <c:f>'feed patterns 26102020'!$AH$5:$AL$5</c:f>
              <c:numCache>
                <c:formatCode>General</c:formatCode>
                <c:ptCount val="5"/>
                <c:pt idx="0" formatCode="0.00">
                  <c:v>5.6</c:v>
                </c:pt>
                <c:pt idx="1">
                  <c:v>4.2</c:v>
                </c:pt>
                <c:pt idx="2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F4-40E4-8D71-34FBB971A3FB}"/>
            </c:ext>
          </c:extLst>
        </c:ser>
        <c:ser>
          <c:idx val="1"/>
          <c:order val="1"/>
          <c:tx>
            <c:strRef>
              <c:f>'feed patterns 26102020'!$AG$6</c:f>
              <c:strCache>
                <c:ptCount val="1"/>
                <c:pt idx="0">
                  <c:v>Precipitated enzyme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'feed patterns 26102020'!$AH$4:$AL$4</c:f>
              <c:strCache>
                <c:ptCount val="5"/>
                <c:pt idx="0">
                  <c:v>5 uM</c:v>
                </c:pt>
                <c:pt idx="1">
                  <c:v>1 uM</c:v>
                </c:pt>
                <c:pt idx="2">
                  <c:v>0.5 uM</c:v>
                </c:pt>
                <c:pt idx="3">
                  <c:v>0.25 uM</c:v>
                </c:pt>
                <c:pt idx="4">
                  <c:v>0.1 uM</c:v>
                </c:pt>
              </c:strCache>
            </c:strRef>
          </c:cat>
          <c:val>
            <c:numRef>
              <c:f>'feed patterns 26102020'!$AH$6:$AL$6</c:f>
              <c:numCache>
                <c:formatCode>General</c:formatCode>
                <c:ptCount val="5"/>
                <c:pt idx="0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F4-40E4-8D71-34FBB971A3FB}"/>
            </c:ext>
          </c:extLst>
        </c:ser>
        <c:ser>
          <c:idx val="2"/>
          <c:order val="2"/>
          <c:tx>
            <c:strRef>
              <c:f>'feed patterns 26102020'!$AG$7</c:f>
              <c:strCache>
                <c:ptCount val="1"/>
                <c:pt idx="0">
                  <c:v>Aggregated enzyme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'feed patterns 26102020'!$AH$4:$AL$4</c:f>
              <c:strCache>
                <c:ptCount val="5"/>
                <c:pt idx="0">
                  <c:v>5 uM</c:v>
                </c:pt>
                <c:pt idx="1">
                  <c:v>1 uM</c:v>
                </c:pt>
                <c:pt idx="2">
                  <c:v>0.5 uM</c:v>
                </c:pt>
                <c:pt idx="3">
                  <c:v>0.25 uM</c:v>
                </c:pt>
                <c:pt idx="4">
                  <c:v>0.1 uM</c:v>
                </c:pt>
              </c:strCache>
            </c:strRef>
          </c:cat>
          <c:val>
            <c:numRef>
              <c:f>'feed patterns 26102020'!$AH$7:$AL$7</c:f>
              <c:numCache>
                <c:formatCode>General</c:formatCode>
                <c:ptCount val="5"/>
                <c:pt idx="0" formatCode="0.00">
                  <c:v>5.0999999999999996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F4-40E4-8D71-34FBB971A3FB}"/>
            </c:ext>
          </c:extLst>
        </c:ser>
        <c:ser>
          <c:idx val="3"/>
          <c:order val="3"/>
          <c:tx>
            <c:strRef>
              <c:f>'feed patterns 26102020'!$AG$8</c:f>
              <c:strCache>
                <c:ptCount val="1"/>
                <c:pt idx="0">
                  <c:v>Encapsulated enzyme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'feed patterns 26102020'!$AH$4:$AL$4</c:f>
              <c:strCache>
                <c:ptCount val="5"/>
                <c:pt idx="0">
                  <c:v>5 uM</c:v>
                </c:pt>
                <c:pt idx="1">
                  <c:v>1 uM</c:v>
                </c:pt>
                <c:pt idx="2">
                  <c:v>0.5 uM</c:v>
                </c:pt>
                <c:pt idx="3">
                  <c:v>0.25 uM</c:v>
                </c:pt>
                <c:pt idx="4">
                  <c:v>0.1 uM</c:v>
                </c:pt>
              </c:strCache>
            </c:strRef>
          </c:cat>
          <c:val>
            <c:numRef>
              <c:f>'feed patterns 26102020'!$AH$8:$AL$8</c:f>
              <c:numCache>
                <c:formatCode>General</c:formatCode>
                <c:ptCount val="5"/>
                <c:pt idx="2">
                  <c:v>6</c:v>
                </c:pt>
                <c:pt idx="3">
                  <c:v>5.3</c:v>
                </c:pt>
                <c:pt idx="4">
                  <c:v>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F4-40E4-8D71-34FBB971A3FB}"/>
            </c:ext>
          </c:extLst>
        </c:ser>
        <c:ser>
          <c:idx val="4"/>
          <c:order val="4"/>
          <c:tx>
            <c:strRef>
              <c:f>'feed patterns 26102020'!$AG$9</c:f>
              <c:strCache>
                <c:ptCount val="1"/>
                <c:pt idx="0">
                  <c:v>NC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'feed patterns 26102020'!$AH$4:$AL$4</c:f>
              <c:strCache>
                <c:ptCount val="5"/>
                <c:pt idx="0">
                  <c:v>5 uM</c:v>
                </c:pt>
                <c:pt idx="1">
                  <c:v>1 uM</c:v>
                </c:pt>
                <c:pt idx="2">
                  <c:v>0.5 uM</c:v>
                </c:pt>
                <c:pt idx="3">
                  <c:v>0.25 uM</c:v>
                </c:pt>
                <c:pt idx="4">
                  <c:v>0.1 uM</c:v>
                </c:pt>
              </c:strCache>
            </c:strRef>
          </c:cat>
          <c:val>
            <c:numRef>
              <c:f>'feed patterns 26102020'!$AH$9:$AL$9</c:f>
              <c:numCache>
                <c:formatCode>General</c:formatCode>
                <c:ptCount val="5"/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F4-40E4-8D71-34FBB971A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65085152"/>
        <c:axId val="206868256"/>
      </c:barChart>
      <c:catAx>
        <c:axId val="146508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868256"/>
        <c:crosses val="autoZero"/>
        <c:auto val="1"/>
        <c:lblAlgn val="ctr"/>
        <c:lblOffset val="100"/>
        <c:noMultiLvlLbl val="0"/>
      </c:catAx>
      <c:valAx>
        <c:axId val="206868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5085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'feed patterns 26102020'!$AM$5</c:f>
              <c:strCache>
                <c:ptCount val="1"/>
                <c:pt idx="0">
                  <c:v>Free enzyme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'feed patterns 26102020'!$AN$4:$AR$4</c:f>
              <c:strCache>
                <c:ptCount val="5"/>
                <c:pt idx="0">
                  <c:v>5 uM</c:v>
                </c:pt>
                <c:pt idx="1">
                  <c:v>1 uM</c:v>
                </c:pt>
                <c:pt idx="2">
                  <c:v>0.5 uM</c:v>
                </c:pt>
                <c:pt idx="3">
                  <c:v>0.25 uM</c:v>
                </c:pt>
                <c:pt idx="4">
                  <c:v>0.1 uM</c:v>
                </c:pt>
              </c:strCache>
            </c:strRef>
          </c:cat>
          <c:val>
            <c:numRef>
              <c:f>'feed patterns 26102020'!$AN$5:$AR$5</c:f>
              <c:numCache>
                <c:formatCode>General</c:formatCode>
                <c:ptCount val="5"/>
                <c:pt idx="0" formatCode="0.00">
                  <c:v>1.1199999999999999</c:v>
                </c:pt>
                <c:pt idx="1">
                  <c:v>4.2</c:v>
                </c:pt>
                <c:pt idx="2" formatCode="0.00">
                  <c:v>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7B-4CF3-AE14-D7B3AA8D60C8}"/>
            </c:ext>
          </c:extLst>
        </c:ser>
        <c:ser>
          <c:idx val="1"/>
          <c:order val="1"/>
          <c:tx>
            <c:strRef>
              <c:f>'feed patterns 26102020'!$AM$6</c:f>
              <c:strCache>
                <c:ptCount val="1"/>
                <c:pt idx="0">
                  <c:v>Precipitated enzyme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'feed patterns 26102020'!$AN$4:$AR$4</c:f>
              <c:strCache>
                <c:ptCount val="5"/>
                <c:pt idx="0">
                  <c:v>5 uM</c:v>
                </c:pt>
                <c:pt idx="1">
                  <c:v>1 uM</c:v>
                </c:pt>
                <c:pt idx="2">
                  <c:v>0.5 uM</c:v>
                </c:pt>
                <c:pt idx="3">
                  <c:v>0.25 uM</c:v>
                </c:pt>
                <c:pt idx="4">
                  <c:v>0.1 uM</c:v>
                </c:pt>
              </c:strCache>
            </c:strRef>
          </c:cat>
          <c:val>
            <c:numRef>
              <c:f>'feed patterns 26102020'!$AN$6:$AR$6</c:f>
              <c:numCache>
                <c:formatCode>General</c:formatCode>
                <c:ptCount val="5"/>
                <c:pt idx="0">
                  <c:v>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7B-4CF3-AE14-D7B3AA8D60C8}"/>
            </c:ext>
          </c:extLst>
        </c:ser>
        <c:ser>
          <c:idx val="2"/>
          <c:order val="2"/>
          <c:tx>
            <c:strRef>
              <c:f>'feed patterns 26102020'!$AM$7</c:f>
              <c:strCache>
                <c:ptCount val="1"/>
                <c:pt idx="0">
                  <c:v>Aggregated enzyme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'feed patterns 26102020'!$AN$4:$AR$4</c:f>
              <c:strCache>
                <c:ptCount val="5"/>
                <c:pt idx="0">
                  <c:v>5 uM</c:v>
                </c:pt>
                <c:pt idx="1">
                  <c:v>1 uM</c:v>
                </c:pt>
                <c:pt idx="2">
                  <c:v>0.5 uM</c:v>
                </c:pt>
                <c:pt idx="3">
                  <c:v>0.25 uM</c:v>
                </c:pt>
                <c:pt idx="4">
                  <c:v>0.1 uM</c:v>
                </c:pt>
              </c:strCache>
            </c:strRef>
          </c:cat>
          <c:val>
            <c:numRef>
              <c:f>'feed patterns 26102020'!$AN$7:$AR$7</c:f>
              <c:numCache>
                <c:formatCode>General</c:formatCode>
                <c:ptCount val="5"/>
                <c:pt idx="0" formatCode="0.00">
                  <c:v>1.02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7B-4CF3-AE14-D7B3AA8D60C8}"/>
            </c:ext>
          </c:extLst>
        </c:ser>
        <c:ser>
          <c:idx val="3"/>
          <c:order val="3"/>
          <c:tx>
            <c:strRef>
              <c:f>'feed patterns 26102020'!$AM$8</c:f>
              <c:strCache>
                <c:ptCount val="1"/>
                <c:pt idx="0">
                  <c:v>Encapsulated enzyme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'feed patterns 26102020'!$AN$4:$AR$4</c:f>
              <c:strCache>
                <c:ptCount val="5"/>
                <c:pt idx="0">
                  <c:v>5 uM</c:v>
                </c:pt>
                <c:pt idx="1">
                  <c:v>1 uM</c:v>
                </c:pt>
                <c:pt idx="2">
                  <c:v>0.5 uM</c:v>
                </c:pt>
                <c:pt idx="3">
                  <c:v>0.25 uM</c:v>
                </c:pt>
                <c:pt idx="4">
                  <c:v>0.1 uM</c:v>
                </c:pt>
              </c:strCache>
            </c:strRef>
          </c:cat>
          <c:val>
            <c:numRef>
              <c:f>'feed patterns 26102020'!$AN$8:$AR$8</c:f>
              <c:numCache>
                <c:formatCode>General</c:formatCode>
                <c:ptCount val="5"/>
                <c:pt idx="2">
                  <c:v>12</c:v>
                </c:pt>
                <c:pt idx="3">
                  <c:v>21.2</c:v>
                </c:pt>
                <c:pt idx="4">
                  <c:v>18.999999999999996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7B-4CF3-AE14-D7B3AA8D60C8}"/>
            </c:ext>
          </c:extLst>
        </c:ser>
        <c:ser>
          <c:idx val="4"/>
          <c:order val="4"/>
          <c:tx>
            <c:strRef>
              <c:f>'feed patterns 26102020'!$AM$9</c:f>
              <c:strCache>
                <c:ptCount val="1"/>
                <c:pt idx="0">
                  <c:v>NC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'feed patterns 26102020'!$AN$4:$AR$4</c:f>
              <c:strCache>
                <c:ptCount val="5"/>
                <c:pt idx="0">
                  <c:v>5 uM</c:v>
                </c:pt>
                <c:pt idx="1">
                  <c:v>1 uM</c:v>
                </c:pt>
                <c:pt idx="2">
                  <c:v>0.5 uM</c:v>
                </c:pt>
                <c:pt idx="3">
                  <c:v>0.25 uM</c:v>
                </c:pt>
                <c:pt idx="4">
                  <c:v>0.1 uM</c:v>
                </c:pt>
              </c:strCache>
            </c:strRef>
          </c:cat>
          <c:val>
            <c:numRef>
              <c:f>'feed patterns 26102020'!$AN$9:$AR$9</c:f>
              <c:numCache>
                <c:formatCode>General</c:formatCode>
                <c:ptCount val="5"/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7B-4CF3-AE14-D7B3AA8D6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48696800"/>
        <c:axId val="1244894864"/>
      </c:barChart>
      <c:catAx>
        <c:axId val="124869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4894864"/>
        <c:crosses val="autoZero"/>
        <c:auto val="1"/>
        <c:lblAlgn val="ctr"/>
        <c:lblOffset val="100"/>
        <c:noMultiLvlLbl val="0"/>
      </c:catAx>
      <c:valAx>
        <c:axId val="124489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8696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30°C tBuOOH feed 1.25 mM every 15 min</a:t>
            </a:r>
            <a:r>
              <a:rPr lang="en-GB" baseline="0"/>
              <a:t> </a:t>
            </a:r>
            <a:endParaRPr lang="en-GB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8553281801605752E-2"/>
          <c:y val="0.15198708175440148"/>
          <c:w val="0.84676119588740828"/>
          <c:h val="0.7029129315307677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'temperatures 29102020'!$N$29:$N$32</c:f>
              <c:strCache>
                <c:ptCount val="4"/>
                <c:pt idx="0">
                  <c:v>0.1 uM free</c:v>
                </c:pt>
              </c:strCache>
            </c:strRef>
          </c:tx>
          <c:xVal>
            <c:numRef>
              <c:f>'temperatures 29102020'!$O$29:$O$31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29102020'!$P$29:$P$31</c:f>
              <c:numCache>
                <c:formatCode>0.000</c:formatCode>
                <c:ptCount val="3"/>
                <c:pt idx="0">
                  <c:v>0.80357142857142849</c:v>
                </c:pt>
                <c:pt idx="1">
                  <c:v>1.3916894508999771</c:v>
                </c:pt>
                <c:pt idx="2">
                  <c:v>1.5593987999076853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B-D25F-4C9C-A403-F85D500DC214}"/>
            </c:ext>
          </c:extLst>
        </c:ser>
        <c:ser>
          <c:idx val="1"/>
          <c:order val="1"/>
          <c:tx>
            <c:strRef>
              <c:f>'temperatures 29102020'!$N$25:$N$28</c:f>
              <c:strCache>
                <c:ptCount val="4"/>
                <c:pt idx="0">
                  <c:v>0.25 uM free</c:v>
                </c:pt>
              </c:strCache>
            </c:strRef>
          </c:tx>
          <c:xVal>
            <c:numRef>
              <c:f>'temperatures 29102020'!$O$25:$O$27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29102020'!$P$25:$P$27</c:f>
              <c:numCache>
                <c:formatCode>0.000</c:formatCode>
                <c:ptCount val="3"/>
                <c:pt idx="0">
                  <c:v>0.80357142857142849</c:v>
                </c:pt>
                <c:pt idx="1">
                  <c:v>1.463693297224103</c:v>
                </c:pt>
                <c:pt idx="2">
                  <c:v>1.974413860475807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C-D25F-4C9C-A403-F85D500DC214}"/>
            </c:ext>
          </c:extLst>
        </c:ser>
        <c:ser>
          <c:idx val="2"/>
          <c:order val="2"/>
          <c:tx>
            <c:strRef>
              <c:f>'temperatures 29102020'!$N$33:$N$36</c:f>
              <c:strCache>
                <c:ptCount val="4"/>
                <c:pt idx="0">
                  <c:v>0.1 uM beads</c:v>
                </c:pt>
              </c:strCache>
            </c:strRef>
          </c:tx>
          <c:xVal>
            <c:numRef>
              <c:f>'temperatures 29102020'!$O$33:$O$35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29102020'!$P$33:$P$35</c:f>
              <c:numCache>
                <c:formatCode>0.000</c:formatCode>
                <c:ptCount val="3"/>
                <c:pt idx="0">
                  <c:v>1.3626159173611925</c:v>
                </c:pt>
                <c:pt idx="1">
                  <c:v>2.2183402346445824</c:v>
                </c:pt>
                <c:pt idx="2">
                  <c:v>3.5597510734594406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D-D25F-4C9C-A403-F85D500DC214}"/>
            </c:ext>
          </c:extLst>
        </c:ser>
        <c:ser>
          <c:idx val="3"/>
          <c:order val="3"/>
          <c:tx>
            <c:strRef>
              <c:f>'temperatures 29102020'!$N$37:$N$40</c:f>
              <c:strCache>
                <c:ptCount val="4"/>
                <c:pt idx="0">
                  <c:v>0.05 uM beads</c:v>
                </c:pt>
              </c:strCache>
            </c:strRef>
          </c:tx>
          <c:xVal>
            <c:numRef>
              <c:f>'temperatures 29102020'!$O$37:$O$39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29102020'!$P$37:$P$39</c:f>
              <c:numCache>
                <c:formatCode>0.000</c:formatCode>
                <c:ptCount val="3"/>
                <c:pt idx="0">
                  <c:v>1.2772169437846397</c:v>
                </c:pt>
                <c:pt idx="1">
                  <c:v>1.8916513550757925</c:v>
                </c:pt>
                <c:pt idx="2">
                  <c:v>2.5340274546300603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E-D25F-4C9C-A403-F85D500DC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217456"/>
        <c:axId val="207816304"/>
        <c:extLst/>
      </c:scatterChart>
      <c:valAx>
        <c:axId val="569217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[h]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816304"/>
        <c:crosses val="autoZero"/>
        <c:crossBetween val="midCat"/>
        <c:majorUnit val="0.5"/>
      </c:valAx>
      <c:valAx>
        <c:axId val="207816304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styrene</a:t>
                </a:r>
                <a:r>
                  <a:rPr lang="en-GB" baseline="0"/>
                  <a:t> oxide [mM]</a:t>
                </a:r>
                <a:endParaRPr lang="en-GB"/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17456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10251340527347834"/>
          <c:y val="0.18166140531786348"/>
          <c:w val="0.20224465710764558"/>
          <c:h val="0.29114565554933297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RT tBuOOH feed 1.25 mM every 15 min</a:t>
            </a:r>
            <a:r>
              <a:rPr lang="en-GB" baseline="0"/>
              <a:t> </a:t>
            </a:r>
            <a:endParaRPr lang="en-GB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8553281801605752E-2"/>
          <c:y val="0.15198708175440148"/>
          <c:w val="0.84676119588740828"/>
          <c:h val="0.7029129315307677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'temperatures 29102020'!$N$50:$N$53</c:f>
              <c:strCache>
                <c:ptCount val="4"/>
                <c:pt idx="0">
                  <c:v>0.1 uM free</c:v>
                </c:pt>
              </c:strCache>
            </c:strRef>
          </c:tx>
          <c:xVal>
            <c:numRef>
              <c:f>'temperatures 29102020'!$O$50:$O$52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29102020'!$P$50:$P$52</c:f>
              <c:numCache>
                <c:formatCode>0.000</c:formatCode>
                <c:ptCount val="3"/>
                <c:pt idx="0">
                  <c:v>0.80357142857142849</c:v>
                </c:pt>
                <c:pt idx="1">
                  <c:v>1.348012399708242</c:v>
                </c:pt>
                <c:pt idx="2">
                  <c:v>1.5318302387267901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13-45F3-8C78-6F9544C23713}"/>
            </c:ext>
          </c:extLst>
        </c:ser>
        <c:ser>
          <c:idx val="1"/>
          <c:order val="1"/>
          <c:tx>
            <c:strRef>
              <c:f>'temperatures 29102020'!$N$46:$N$49</c:f>
              <c:strCache>
                <c:ptCount val="4"/>
                <c:pt idx="0">
                  <c:v>0.25 uM free</c:v>
                </c:pt>
              </c:strCache>
            </c:strRef>
          </c:tx>
          <c:xVal>
            <c:numRef>
              <c:f>'temperatures 29102020'!$O$46:$O$48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29102020'!$P$46:$P$48</c:f>
              <c:numCache>
                <c:formatCode>0.000</c:formatCode>
                <c:ptCount val="3"/>
                <c:pt idx="0">
                  <c:v>0.80357142857142849</c:v>
                </c:pt>
                <c:pt idx="1">
                  <c:v>1.391226872914771</c:v>
                </c:pt>
                <c:pt idx="2">
                  <c:v>1.7976021853500608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13-45F3-8C78-6F9544C23713}"/>
            </c:ext>
          </c:extLst>
        </c:ser>
        <c:ser>
          <c:idx val="2"/>
          <c:order val="2"/>
          <c:tx>
            <c:strRef>
              <c:f>'temperatures 29102020'!$N$54:$N$57</c:f>
              <c:strCache>
                <c:ptCount val="4"/>
                <c:pt idx="0">
                  <c:v>0.1 uM beads</c:v>
                </c:pt>
              </c:strCache>
            </c:strRef>
          </c:tx>
          <c:xVal>
            <c:numRef>
              <c:f>'temperatures 29102020'!$O$54:$O$56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29102020'!$P$54:$P$56</c:f>
              <c:numCache>
                <c:formatCode>0.000</c:formatCode>
                <c:ptCount val="3"/>
                <c:pt idx="0">
                  <c:v>1.3862421168083356</c:v>
                </c:pt>
                <c:pt idx="1">
                  <c:v>2.0299605721621123</c:v>
                </c:pt>
                <c:pt idx="2">
                  <c:v>2.8833189902467011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13-45F3-8C78-6F9544C23713}"/>
            </c:ext>
          </c:extLst>
        </c:ser>
        <c:ser>
          <c:idx val="3"/>
          <c:order val="3"/>
          <c:tx>
            <c:strRef>
              <c:f>'temperatures 29102020'!$N$58:$N$61</c:f>
              <c:strCache>
                <c:ptCount val="4"/>
                <c:pt idx="0">
                  <c:v>0.05 uM beads</c:v>
                </c:pt>
              </c:strCache>
            </c:strRef>
          </c:tx>
          <c:xVal>
            <c:numRef>
              <c:f>'temperatures 29102020'!$O$58:$O$60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29102020'!$P$58:$P$60</c:f>
              <c:numCache>
                <c:formatCode>0.000</c:formatCode>
                <c:ptCount val="3"/>
                <c:pt idx="0">
                  <c:v>1.2995330641090359</c:v>
                </c:pt>
                <c:pt idx="1">
                  <c:v>1.6614768683274022</c:v>
                </c:pt>
                <c:pt idx="2">
                  <c:v>2.2033621140764001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613-45F3-8C78-6F9544C237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217456"/>
        <c:axId val="207816304"/>
        <c:extLst/>
      </c:scatterChart>
      <c:valAx>
        <c:axId val="569217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[h]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816304"/>
        <c:crosses val="autoZero"/>
        <c:crossBetween val="midCat"/>
        <c:majorUnit val="0.5"/>
      </c:valAx>
      <c:valAx>
        <c:axId val="207816304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styrene</a:t>
                </a:r>
                <a:r>
                  <a:rPr lang="en-GB" baseline="0"/>
                  <a:t> oxide [mM]</a:t>
                </a:r>
                <a:endParaRPr lang="en-GB"/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17456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10251340527347834"/>
          <c:y val="0.18166140531786348"/>
          <c:w val="0.1980249237783544"/>
          <c:h val="0.28498576485848159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40°C tBuOOH feed 1.25 mM every 15 min</a:t>
            </a:r>
            <a:r>
              <a:rPr lang="en-GB" baseline="0"/>
              <a:t> </a:t>
            </a:r>
            <a:endParaRPr lang="en-GB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8553281801605752E-2"/>
          <c:y val="0.15198708175440148"/>
          <c:w val="0.84676119588740828"/>
          <c:h val="0.7029129315307677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'temperatures 29102020'!$N$8:$N$11</c:f>
              <c:strCache>
                <c:ptCount val="4"/>
                <c:pt idx="0">
                  <c:v>0.1 uM free</c:v>
                </c:pt>
              </c:strCache>
            </c:strRef>
          </c:tx>
          <c:xVal>
            <c:numRef>
              <c:f>'temperatures 29102020'!$O$8:$O$10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29102020'!$P$8:$P$10</c:f>
              <c:numCache>
                <c:formatCode>0.000</c:formatCode>
                <c:ptCount val="3"/>
                <c:pt idx="0">
                  <c:v>0.80357142857142849</c:v>
                </c:pt>
                <c:pt idx="1">
                  <c:v>1.2861582082712797</c:v>
                </c:pt>
                <c:pt idx="2">
                  <c:v>1.5316272120004688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63E-4ADB-9972-A27600292841}"/>
            </c:ext>
          </c:extLst>
        </c:ser>
        <c:ser>
          <c:idx val="1"/>
          <c:order val="1"/>
          <c:tx>
            <c:strRef>
              <c:f>'temperatures 29102020'!$N$4:$N$7</c:f>
              <c:strCache>
                <c:ptCount val="4"/>
                <c:pt idx="0">
                  <c:v>0.25 uM free</c:v>
                </c:pt>
              </c:strCache>
            </c:strRef>
          </c:tx>
          <c:xVal>
            <c:numRef>
              <c:f>'temperatures 29102020'!$O$4:$O$6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29102020'!$P$4:$P$6</c:f>
              <c:numCache>
                <c:formatCode>0.000</c:formatCode>
                <c:ptCount val="3"/>
                <c:pt idx="0">
                  <c:v>1.3059877416313059</c:v>
                </c:pt>
                <c:pt idx="1">
                  <c:v>1.484661172161172</c:v>
                </c:pt>
                <c:pt idx="2">
                  <c:v>2.1623297945995845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63E-4ADB-9972-A27600292841}"/>
            </c:ext>
          </c:extLst>
        </c:ser>
        <c:ser>
          <c:idx val="2"/>
          <c:order val="2"/>
          <c:tx>
            <c:strRef>
              <c:f>'temperatures 29102020'!$N$12:$N$15</c:f>
              <c:strCache>
                <c:ptCount val="4"/>
                <c:pt idx="0">
                  <c:v>0.1 uM beads</c:v>
                </c:pt>
              </c:strCache>
            </c:strRef>
          </c:tx>
          <c:xVal>
            <c:numRef>
              <c:f>'temperatures 29102020'!$O$12:$O$14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29102020'!$P$12:$P$14</c:f>
              <c:numCache>
                <c:formatCode>0.000</c:formatCode>
                <c:ptCount val="3"/>
                <c:pt idx="0">
                  <c:v>1.4704540101283712</c:v>
                </c:pt>
                <c:pt idx="1">
                  <c:v>2.282278053177107</c:v>
                </c:pt>
                <c:pt idx="2">
                  <c:v>4.0255899873983276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63E-4ADB-9972-A27600292841}"/>
            </c:ext>
          </c:extLst>
        </c:ser>
        <c:ser>
          <c:idx val="3"/>
          <c:order val="3"/>
          <c:tx>
            <c:strRef>
              <c:f>'temperatures 29102020'!$N$16:$N$19</c:f>
              <c:strCache>
                <c:ptCount val="4"/>
                <c:pt idx="0">
                  <c:v>0.05 uM beads</c:v>
                </c:pt>
              </c:strCache>
            </c:strRef>
          </c:tx>
          <c:xVal>
            <c:numRef>
              <c:f>'temperatures 29102020'!$O$16:$O$18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xVal>
          <c:yVal>
            <c:numRef>
              <c:f>'temperatures 29102020'!$P$16:$P$18</c:f>
              <c:numCache>
                <c:formatCode>0.000</c:formatCode>
                <c:ptCount val="3"/>
                <c:pt idx="0">
                  <c:v>1.3941003616636527</c:v>
                </c:pt>
                <c:pt idx="1">
                  <c:v>2.0079237482774461</c:v>
                </c:pt>
                <c:pt idx="2">
                  <c:v>2.8839433783463635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63E-4ADB-9972-A27600292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217456"/>
        <c:axId val="207816304"/>
        <c:extLst/>
      </c:scatterChart>
      <c:valAx>
        <c:axId val="569217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time</a:t>
                </a:r>
                <a:r>
                  <a:rPr lang="en-GB" baseline="0"/>
                  <a:t> [h]</a:t>
                </a: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7816304"/>
        <c:crosses val="autoZero"/>
        <c:crossBetween val="midCat"/>
        <c:majorUnit val="0.5"/>
      </c:valAx>
      <c:valAx>
        <c:axId val="207816304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styrene</a:t>
                </a:r>
                <a:r>
                  <a:rPr lang="en-GB" baseline="0"/>
                  <a:t> oxide [mM]</a:t>
                </a:r>
                <a:endParaRPr lang="en-GB"/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217456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10251340527347834"/>
          <c:y val="0.18166140531786348"/>
          <c:w val="0.19952995001801857"/>
          <c:h val="0.28685774028003397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10" Type="http://schemas.openxmlformats.org/officeDocument/2006/relationships/chart" Target="../charts/chart16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170597</xdr:colOff>
      <xdr:row>1</xdr:row>
      <xdr:rowOff>133272</xdr:rowOff>
    </xdr:from>
    <xdr:to>
      <xdr:col>27</xdr:col>
      <xdr:colOff>487589</xdr:colOff>
      <xdr:row>20</xdr:row>
      <xdr:rowOff>56865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27D40B-28F2-47AE-91DB-96C5BF025E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115770</xdr:colOff>
      <xdr:row>22</xdr:row>
      <xdr:rowOff>133272</xdr:rowOff>
    </xdr:from>
    <xdr:to>
      <xdr:col>29</xdr:col>
      <xdr:colOff>441057</xdr:colOff>
      <xdr:row>41</xdr:row>
      <xdr:rowOff>78395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240EB10-4133-44FB-9AEA-DDBCE21728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155533</xdr:colOff>
      <xdr:row>1</xdr:row>
      <xdr:rowOff>25623</xdr:rowOff>
    </xdr:from>
    <xdr:to>
      <xdr:col>29</xdr:col>
      <xdr:colOff>455521</xdr:colOff>
      <xdr:row>18</xdr:row>
      <xdr:rowOff>23184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4AF9C5C-7116-4A71-9930-7661E2C299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478210</xdr:colOff>
      <xdr:row>20</xdr:row>
      <xdr:rowOff>50397</xdr:rowOff>
    </xdr:from>
    <xdr:to>
      <xdr:col>28</xdr:col>
      <xdr:colOff>362857</xdr:colOff>
      <xdr:row>37</xdr:row>
      <xdr:rowOff>16651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A494F7B-6542-430B-A4C7-0CE17DB176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95249</xdr:colOff>
      <xdr:row>9</xdr:row>
      <xdr:rowOff>134120</xdr:rowOff>
    </xdr:from>
    <xdr:to>
      <xdr:col>37</xdr:col>
      <xdr:colOff>490682</xdr:colOff>
      <xdr:row>24</xdr:row>
      <xdr:rowOff>77547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6EFBFB-CB41-4888-8CC2-0F9BF7011E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114492</xdr:colOff>
      <xdr:row>10</xdr:row>
      <xdr:rowOff>28286</xdr:rowOff>
    </xdr:from>
    <xdr:to>
      <xdr:col>43</xdr:col>
      <xdr:colOff>423333</xdr:colOff>
      <xdr:row>24</xdr:row>
      <xdr:rowOff>38484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5E17FD1-5BCD-4274-A474-16341CE2FB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597645</xdr:colOff>
      <xdr:row>13</xdr:row>
      <xdr:rowOff>67236</xdr:rowOff>
    </xdr:from>
    <xdr:to>
      <xdr:col>32</xdr:col>
      <xdr:colOff>171823</xdr:colOff>
      <xdr:row>23</xdr:row>
      <xdr:rowOff>22412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3F4BADF5-7D58-4BFF-A83B-85A4798EFC58}"/>
            </a:ext>
          </a:extLst>
        </xdr:cNvPr>
        <xdr:cNvSpPr/>
      </xdr:nvSpPr>
      <xdr:spPr>
        <a:xfrm>
          <a:off x="17839763" y="2532530"/>
          <a:ext cx="2024531" cy="1852706"/>
        </a:xfrm>
        <a:prstGeom prst="ellipse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We learn that the enzyme</a:t>
          </a:r>
          <a:r>
            <a:rPr lang="en-GB" sz="1100" baseline="0"/>
            <a:t> - even in very low concentrations still is too much and consumes the sustrate faster than its feed.</a:t>
          </a:r>
          <a:endParaRPr lang="en-GB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341922</xdr:colOff>
      <xdr:row>23</xdr:row>
      <xdr:rowOff>11030</xdr:rowOff>
    </xdr:from>
    <xdr:to>
      <xdr:col>27</xdr:col>
      <xdr:colOff>528753</xdr:colOff>
      <xdr:row>40</xdr:row>
      <xdr:rowOff>8590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F5F95E-D310-408A-B121-53926A5FE0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443413</xdr:colOff>
      <xdr:row>44</xdr:row>
      <xdr:rowOff>33934</xdr:rowOff>
    </xdr:from>
    <xdr:to>
      <xdr:col>28</xdr:col>
      <xdr:colOff>575302</xdr:colOff>
      <xdr:row>61</xdr:row>
      <xdr:rowOff>37712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3C0AA04-604B-49B7-A973-91AD3D1BB9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277809</xdr:colOff>
      <xdr:row>2</xdr:row>
      <xdr:rowOff>11030</xdr:rowOff>
    </xdr:from>
    <xdr:to>
      <xdr:col>28</xdr:col>
      <xdr:colOff>574768</xdr:colOff>
      <xdr:row>19</xdr:row>
      <xdr:rowOff>8590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227DF6C-85A4-4691-B680-F454CEA448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557561</xdr:colOff>
      <xdr:row>81</xdr:row>
      <xdr:rowOff>100670</xdr:rowOff>
    </xdr:from>
    <xdr:to>
      <xdr:col>28</xdr:col>
      <xdr:colOff>77683</xdr:colOff>
      <xdr:row>98</xdr:row>
      <xdr:rowOff>95577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D749D789-8DB9-45A3-BC66-F49D9E084F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464635</xdr:colOff>
      <xdr:row>62</xdr:row>
      <xdr:rowOff>154878</xdr:rowOff>
    </xdr:from>
    <xdr:to>
      <xdr:col>27</xdr:col>
      <xdr:colOff>596525</xdr:colOff>
      <xdr:row>79</xdr:row>
      <xdr:rowOff>157529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C752540-1489-4B9C-A73E-1B8DBBD14B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387196</xdr:colOff>
      <xdr:row>99</xdr:row>
      <xdr:rowOff>61951</xdr:rowOff>
    </xdr:from>
    <xdr:to>
      <xdr:col>27</xdr:col>
      <xdr:colOff>519086</xdr:colOff>
      <xdr:row>116</xdr:row>
      <xdr:rowOff>64603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1AF9F19E-5B5E-4A1F-9055-0E766F389D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38</xdr:col>
      <xdr:colOff>57425</xdr:colOff>
      <xdr:row>18</xdr:row>
      <xdr:rowOff>20071</xdr:rowOff>
    </xdr:from>
    <xdr:to>
      <xdr:col>46</xdr:col>
      <xdr:colOff>250608</xdr:colOff>
      <xdr:row>38</xdr:row>
      <xdr:rowOff>76951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078AE53-F5E4-4CB4-AE9A-CF4222CC5E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29</xdr:col>
      <xdr:colOff>317687</xdr:colOff>
      <xdr:row>17</xdr:row>
      <xdr:rowOff>178819</xdr:rowOff>
    </xdr:from>
    <xdr:to>
      <xdr:col>36</xdr:col>
      <xdr:colOff>287279</xdr:colOff>
      <xdr:row>38</xdr:row>
      <xdr:rowOff>88861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4F1F821F-7D92-4C17-9428-A4B4E52CA0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30</xdr:col>
      <xdr:colOff>26096</xdr:colOff>
      <xdr:row>52</xdr:row>
      <xdr:rowOff>159359</xdr:rowOff>
    </xdr:from>
    <xdr:to>
      <xdr:col>36</xdr:col>
      <xdr:colOff>513219</xdr:colOff>
      <xdr:row>67</xdr:row>
      <xdr:rowOff>110299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41E22A5F-B86C-4A66-B2CA-D051E83970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39</xdr:col>
      <xdr:colOff>42334</xdr:colOff>
      <xdr:row>52</xdr:row>
      <xdr:rowOff>143140</xdr:rowOff>
    </xdr:from>
    <xdr:to>
      <xdr:col>46</xdr:col>
      <xdr:colOff>195792</xdr:colOff>
      <xdr:row>67</xdr:row>
      <xdr:rowOff>108215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F3D0655F-E01C-4BA4-A7AB-E928D516B1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26</xdr:col>
      <xdr:colOff>158750</xdr:colOff>
      <xdr:row>16</xdr:row>
      <xdr:rowOff>95250</xdr:rowOff>
    </xdr:from>
    <xdr:to>
      <xdr:col>29</xdr:col>
      <xdr:colOff>341781</xdr:colOff>
      <xdr:row>26</xdr:row>
      <xdr:rowOff>117040</xdr:rowOff>
    </xdr:to>
    <xdr:sp macro="" textlink="">
      <xdr:nvSpPr>
        <xdr:cNvPr id="14" name="Oval 13">
          <a:extLst>
            <a:ext uri="{FF2B5EF4-FFF2-40B4-BE49-F238E27FC236}">
              <a16:creationId xmlns:a16="http://schemas.microsoft.com/office/drawing/2014/main" id="{437FA5B7-B9A5-4397-AECF-DE1C6D285848}"/>
            </a:ext>
          </a:extLst>
        </xdr:cNvPr>
        <xdr:cNvSpPr/>
      </xdr:nvSpPr>
      <xdr:spPr>
        <a:xfrm>
          <a:off x="16816917" y="3037417"/>
          <a:ext cx="2024531" cy="1852706"/>
        </a:xfrm>
        <a:prstGeom prst="ellipse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We learn that the enzyme</a:t>
          </a:r>
          <a:r>
            <a:rPr lang="en-GB" sz="1100" baseline="0"/>
            <a:t> - even in very low concentrations still is too much and consumes the sustrate faster than its feed.</a:t>
          </a:r>
          <a:endParaRPr lang="en-GB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532278</xdr:colOff>
      <xdr:row>9</xdr:row>
      <xdr:rowOff>87079</xdr:rowOff>
    </xdr:from>
    <xdr:to>
      <xdr:col>24</xdr:col>
      <xdr:colOff>345029</xdr:colOff>
      <xdr:row>19</xdr:row>
      <xdr:rowOff>150237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7B2BB0-AB29-4DBE-BB6A-BAD8042911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592666</xdr:colOff>
      <xdr:row>10</xdr:row>
      <xdr:rowOff>166510</xdr:rowOff>
    </xdr:from>
    <xdr:to>
      <xdr:col>28</xdr:col>
      <xdr:colOff>169333</xdr:colOff>
      <xdr:row>21</xdr:row>
      <xdr:rowOff>28221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38BD0B9-480E-4FC9-96CD-ADE4F5329F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446339</xdr:colOff>
      <xdr:row>21</xdr:row>
      <xdr:rowOff>7494</xdr:rowOff>
    </xdr:from>
    <xdr:to>
      <xdr:col>24</xdr:col>
      <xdr:colOff>212083</xdr:colOff>
      <xdr:row>31</xdr:row>
      <xdr:rowOff>24428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65995F-BFCE-426D-AFB0-3DB0B95688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578555</xdr:colOff>
      <xdr:row>22</xdr:row>
      <xdr:rowOff>53622</xdr:rowOff>
    </xdr:from>
    <xdr:to>
      <xdr:col>28</xdr:col>
      <xdr:colOff>169333</xdr:colOff>
      <xdr:row>32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70A61B3-488F-47E9-8532-F910D4CF28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278423</xdr:colOff>
      <xdr:row>32</xdr:row>
      <xdr:rowOff>173158</xdr:rowOff>
    </xdr:from>
    <xdr:to>
      <xdr:col>31</xdr:col>
      <xdr:colOff>39077</xdr:colOff>
      <xdr:row>47</xdr:row>
      <xdr:rowOff>107705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9C515F4-2FEB-42A0-B1B8-5EC331CCE1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24</xdr:col>
      <xdr:colOff>290874</xdr:colOff>
      <xdr:row>47</xdr:row>
      <xdr:rowOff>148256</xdr:rowOff>
    </xdr:from>
    <xdr:to>
      <xdr:col>31</xdr:col>
      <xdr:colOff>31128</xdr:colOff>
      <xdr:row>62</xdr:row>
      <xdr:rowOff>82804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852530D-F98C-4820-8D1E-7654409159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414513</xdr:colOff>
      <xdr:row>2</xdr:row>
      <xdr:rowOff>158750</xdr:rowOff>
    </xdr:from>
    <xdr:to>
      <xdr:col>38</xdr:col>
      <xdr:colOff>308680</xdr:colOff>
      <xdr:row>28</xdr:row>
      <xdr:rowOff>61735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E7D39A-0006-42A2-8AD8-3DDDDD9186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330915</xdr:colOff>
      <xdr:row>17</xdr:row>
      <xdr:rowOff>42495</xdr:rowOff>
    </xdr:from>
    <xdr:to>
      <xdr:col>27</xdr:col>
      <xdr:colOff>369529</xdr:colOff>
      <xdr:row>42</xdr:row>
      <xdr:rowOff>35674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C24D1EC-6E77-4E7A-87D4-E1D6357094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48</xdr:row>
      <xdr:rowOff>0</xdr:rowOff>
    </xdr:from>
    <xdr:to>
      <xdr:col>28</xdr:col>
      <xdr:colOff>38614</xdr:colOff>
      <xdr:row>72</xdr:row>
      <xdr:rowOff>180996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89A4E16-CE53-4047-A4D7-EBF9D5669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388155</xdr:colOff>
      <xdr:row>1</xdr:row>
      <xdr:rowOff>152042</xdr:rowOff>
    </xdr:from>
    <xdr:to>
      <xdr:col>18</xdr:col>
      <xdr:colOff>599225</xdr:colOff>
      <xdr:row>23</xdr:row>
      <xdr:rowOff>119487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52B95EE-5F85-44B4-A220-3C17D432C7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362857</xdr:colOff>
      <xdr:row>18</xdr:row>
      <xdr:rowOff>61951</xdr:rowOff>
    </xdr:from>
    <xdr:to>
      <xdr:col>30</xdr:col>
      <xdr:colOff>301625</xdr:colOff>
      <xdr:row>35</xdr:row>
      <xdr:rowOff>108857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B50801B-DA4A-46B6-A193-C529DC4750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ED354-309F-474C-9424-9848237AB603}">
  <dimension ref="A1:AY294"/>
  <sheetViews>
    <sheetView topLeftCell="E4" zoomScale="77" zoomScaleNormal="100" workbookViewId="0">
      <selection activeCell="G24" sqref="G24"/>
    </sheetView>
  </sheetViews>
  <sheetFormatPr defaultRowHeight="14.6" x14ac:dyDescent="0.4"/>
  <cols>
    <col min="1" max="1" width="13.15234375" customWidth="1"/>
    <col min="2" max="3" width="8.84375" bestFit="1" customWidth="1"/>
    <col min="4" max="4" width="14.84375" customWidth="1"/>
    <col min="5" max="5" width="17.53515625" customWidth="1"/>
    <col min="6" max="6" width="20" customWidth="1"/>
    <col min="7" max="7" width="16.15234375" customWidth="1"/>
    <col min="8" max="8" width="17" customWidth="1"/>
    <col min="9" max="9" width="10.84375" bestFit="1" customWidth="1"/>
    <col min="11" max="11" width="32.53515625" customWidth="1"/>
    <col min="12" max="12" width="15.23046875" customWidth="1"/>
    <col min="14" max="14" width="9.61328125" bestFit="1" customWidth="1"/>
    <col min="29" max="29" width="21.23046875" customWidth="1"/>
    <col min="33" max="33" width="9.23046875" customWidth="1"/>
  </cols>
  <sheetData>
    <row r="1" spans="1:51" s="4" customFormat="1" x14ac:dyDescent="0.4">
      <c r="A1" s="4" t="s">
        <v>49</v>
      </c>
    </row>
    <row r="2" spans="1:51" s="1" customFormat="1" ht="15" thickBot="1" x14ac:dyDescent="0.45">
      <c r="A2" s="1" t="s">
        <v>114</v>
      </c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</row>
    <row r="3" spans="1:51" s="65" customFormat="1" ht="15" thickBot="1" x14ac:dyDescent="0.45">
      <c r="A3" s="65" t="s">
        <v>0</v>
      </c>
      <c r="B3" s="66" t="s">
        <v>2</v>
      </c>
      <c r="C3" s="67" t="s">
        <v>1</v>
      </c>
      <c r="D3" s="67" t="s">
        <v>113</v>
      </c>
      <c r="E3" s="11" t="s">
        <v>69</v>
      </c>
      <c r="F3" s="65" t="s">
        <v>180</v>
      </c>
      <c r="G3" s="21" t="s">
        <v>70</v>
      </c>
      <c r="H3" s="21" t="s">
        <v>69</v>
      </c>
      <c r="I3" s="59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</row>
    <row r="4" spans="1:51" s="65" customFormat="1" x14ac:dyDescent="0.4">
      <c r="A4" s="65" t="s">
        <v>3</v>
      </c>
      <c r="B4" s="70">
        <v>3.1</v>
      </c>
      <c r="C4" s="71">
        <v>1671.3</v>
      </c>
      <c r="D4" s="72">
        <f>C4/C6</f>
        <v>48.725947521865891</v>
      </c>
      <c r="E4" s="74">
        <f>(D5+0.0045)/0.0056</f>
        <v>4.8799979175343609</v>
      </c>
      <c r="F4" s="97">
        <f>(C5/(C4+C5))</f>
        <v>4.6827818953963413E-4</v>
      </c>
      <c r="G4" s="32">
        <f>((F4*1000)/1.1)</f>
        <v>0.42570744503603097</v>
      </c>
      <c r="H4" s="32">
        <f>(G4/120.15)*1000</f>
        <v>3.5431331255599745</v>
      </c>
      <c r="I4" s="59"/>
      <c r="J4" s="68" t="s">
        <v>122</v>
      </c>
      <c r="K4" s="80" t="s">
        <v>123</v>
      </c>
      <c r="L4" s="80" t="s">
        <v>146</v>
      </c>
      <c r="M4" s="80"/>
      <c r="N4" s="80">
        <v>1</v>
      </c>
      <c r="O4" s="80">
        <v>2</v>
      </c>
      <c r="P4" s="80">
        <v>3</v>
      </c>
      <c r="Q4" s="69">
        <v>4</v>
      </c>
      <c r="R4" s="87" t="s">
        <v>221</v>
      </c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</row>
    <row r="5" spans="1:51" s="65" customFormat="1" x14ac:dyDescent="0.4">
      <c r="A5" s="65" t="s">
        <v>5</v>
      </c>
      <c r="B5" s="70">
        <v>4.83</v>
      </c>
      <c r="C5" s="71">
        <v>0.78300000000000003</v>
      </c>
      <c r="D5" s="31">
        <f>C5/C6</f>
        <v>2.2827988338192422E-2</v>
      </c>
      <c r="E5" s="74"/>
      <c r="F5" s="72"/>
      <c r="G5" s="59"/>
      <c r="H5" s="59"/>
      <c r="I5" s="59"/>
      <c r="J5" s="81">
        <v>1</v>
      </c>
      <c r="K5" s="59" t="s">
        <v>236</v>
      </c>
      <c r="L5" s="89">
        <f>0.035*2.86/0.5/44400*1000*1000</f>
        <v>4.5090090090090094</v>
      </c>
      <c r="M5" s="59" t="s">
        <v>124</v>
      </c>
      <c r="N5" s="59">
        <f>AVERAGE(E4,E25)</f>
        <v>4.9992880529537516</v>
      </c>
      <c r="O5" s="59">
        <f>AVERAGE(E9,E30)</f>
        <v>10.975684781488351</v>
      </c>
      <c r="P5" s="59">
        <f>AVERAGE(E14,E35)</f>
        <v>16.21599188515739</v>
      </c>
      <c r="Q5" s="82">
        <f>AVERAGE(E19,E40)</f>
        <v>22.045528925159456</v>
      </c>
      <c r="R5" s="87">
        <v>5.6</v>
      </c>
      <c r="S5" s="87"/>
      <c r="T5" s="87"/>
      <c r="U5" s="87"/>
      <c r="V5" s="87"/>
      <c r="W5" s="87"/>
      <c r="X5" s="87"/>
      <c r="Y5" s="87"/>
      <c r="Z5" s="87"/>
      <c r="AA5" s="87"/>
      <c r="AB5" s="87"/>
      <c r="AC5" s="107" t="s">
        <v>122</v>
      </c>
      <c r="AD5" s="107" t="s">
        <v>229</v>
      </c>
      <c r="AE5" s="108" t="s">
        <v>228</v>
      </c>
      <c r="AF5" s="107" t="s">
        <v>231</v>
      </c>
      <c r="AG5" s="108" t="s">
        <v>230</v>
      </c>
      <c r="AH5" s="89"/>
      <c r="AI5" s="59"/>
      <c r="AJ5" s="59"/>
      <c r="AK5" s="59"/>
      <c r="AL5" s="59"/>
      <c r="AM5" s="59"/>
      <c r="AN5" s="59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</row>
    <row r="6" spans="1:51" s="65" customFormat="1" ht="15" thickBot="1" x14ac:dyDescent="0.45">
      <c r="A6" s="65" t="s">
        <v>4</v>
      </c>
      <c r="B6" s="75">
        <v>6.2119999999999997</v>
      </c>
      <c r="C6" s="76">
        <v>34.299999999999997</v>
      </c>
      <c r="D6" s="76"/>
      <c r="E6" s="77"/>
      <c r="F6" s="65">
        <f>C6/(C4+C5+C6)</f>
        <v>2.0100997255598538E-2</v>
      </c>
      <c r="G6" s="59"/>
      <c r="H6" s="59"/>
      <c r="I6" s="59"/>
      <c r="J6" s="81"/>
      <c r="K6" s="71"/>
      <c r="L6" s="71"/>
      <c r="M6" s="59" t="s">
        <v>125</v>
      </c>
      <c r="N6" s="59">
        <f>STDEV(E4,E25)</f>
        <v>0.16870172736742484</v>
      </c>
      <c r="O6" s="59">
        <f>STDEV(E9,E30)</f>
        <v>3.4960862100638729E-2</v>
      </c>
      <c r="P6" s="59">
        <f>STDEV(E14,E35)</f>
        <v>7.6095827649773684E-2</v>
      </c>
      <c r="Q6" s="82">
        <f>STDEV(E19,E40)</f>
        <v>0.48351033278917188</v>
      </c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107" t="s">
        <v>225</v>
      </c>
      <c r="AD6" s="107">
        <f>R5</f>
        <v>5.6</v>
      </c>
      <c r="AE6" s="108">
        <f>R26</f>
        <v>4.2</v>
      </c>
      <c r="AF6" s="108"/>
      <c r="AG6" s="108"/>
      <c r="AH6" s="71"/>
      <c r="AI6" s="59"/>
      <c r="AJ6" s="59"/>
      <c r="AK6" s="59"/>
      <c r="AL6" s="59"/>
      <c r="AM6" s="59"/>
      <c r="AN6" s="59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</row>
    <row r="7" spans="1:51" s="78" customFormat="1" ht="15" thickBot="1" x14ac:dyDescent="0.45">
      <c r="A7" s="78" t="s">
        <v>115</v>
      </c>
      <c r="J7" s="81">
        <v>2</v>
      </c>
      <c r="K7" s="59" t="s">
        <v>238</v>
      </c>
      <c r="L7" s="89">
        <f>L5</f>
        <v>4.5090090090090094</v>
      </c>
      <c r="M7" s="59" t="s">
        <v>124</v>
      </c>
      <c r="N7" s="59">
        <f>AVERAGE(E46,E67)</f>
        <v>2.9611813624971521</v>
      </c>
      <c r="O7" s="59">
        <f>AVERAGE(E51,E72)</f>
        <v>4.9019363798343996</v>
      </c>
      <c r="P7" s="59">
        <f>AVERAGE(E56,E77)</f>
        <v>6.8768856382662804</v>
      </c>
      <c r="Q7" s="82">
        <f>AVERAGE(E61,E82)</f>
        <v>8.3932471049216328</v>
      </c>
      <c r="R7" s="87">
        <v>1.8</v>
      </c>
      <c r="S7" s="87"/>
      <c r="T7" s="87"/>
      <c r="U7" s="87"/>
      <c r="V7" s="87"/>
      <c r="W7" s="87"/>
      <c r="X7" s="87"/>
      <c r="Y7" s="87"/>
      <c r="Z7" s="87"/>
      <c r="AA7" s="87"/>
      <c r="AB7" s="87"/>
      <c r="AC7" s="107" t="s">
        <v>224</v>
      </c>
      <c r="AD7" s="107">
        <f>R7</f>
        <v>1.8</v>
      </c>
      <c r="AE7" s="108"/>
      <c r="AF7" s="107"/>
      <c r="AG7" s="107"/>
      <c r="AH7" s="89"/>
      <c r="AI7" s="59"/>
      <c r="AJ7" s="59"/>
      <c r="AK7" s="59"/>
      <c r="AL7" s="59"/>
      <c r="AM7" s="59"/>
      <c r="AN7" s="59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</row>
    <row r="8" spans="1:51" s="65" customFormat="1" x14ac:dyDescent="0.4">
      <c r="A8" s="65" t="s">
        <v>0</v>
      </c>
      <c r="B8" s="66" t="s">
        <v>2</v>
      </c>
      <c r="C8" s="67" t="s">
        <v>1</v>
      </c>
      <c r="D8" s="67" t="s">
        <v>113</v>
      </c>
      <c r="E8" s="11" t="s">
        <v>69</v>
      </c>
      <c r="F8" s="65" t="s">
        <v>180</v>
      </c>
      <c r="G8" s="21" t="s">
        <v>70</v>
      </c>
      <c r="H8" s="21" t="s">
        <v>69</v>
      </c>
      <c r="I8" s="87"/>
      <c r="J8" s="81"/>
      <c r="K8" s="59"/>
      <c r="L8" s="59"/>
      <c r="M8" s="59" t="s">
        <v>125</v>
      </c>
      <c r="N8" s="59">
        <f>STDEV(E46,E67)</f>
        <v>9.4329236815840406E-2</v>
      </c>
      <c r="O8" s="59">
        <f>STDEV(E51,E72)</f>
        <v>0.24883251418444996</v>
      </c>
      <c r="P8" s="59">
        <f>STDEV(E56,E77)</f>
        <v>0.13910910051672135</v>
      </c>
      <c r="Q8" s="82">
        <f>STDEV(E61,E82)</f>
        <v>5.9009391524222896E-2</v>
      </c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107" t="s">
        <v>226</v>
      </c>
      <c r="AD8" s="107">
        <f>R9</f>
        <v>5.0999999999999996</v>
      </c>
      <c r="AE8" s="108"/>
      <c r="AF8" s="108"/>
      <c r="AG8" s="108"/>
      <c r="AH8" s="59"/>
      <c r="AI8" s="59"/>
      <c r="AJ8" s="59"/>
      <c r="AK8" s="59"/>
      <c r="AL8" s="59"/>
      <c r="AM8" s="59"/>
      <c r="AN8" s="59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</row>
    <row r="9" spans="1:51" s="65" customFormat="1" x14ac:dyDescent="0.4">
      <c r="A9" s="65" t="s">
        <v>3</v>
      </c>
      <c r="B9" s="70">
        <v>3.14</v>
      </c>
      <c r="C9" s="59">
        <v>1568.9</v>
      </c>
      <c r="D9" s="72">
        <f>C9/C11</f>
        <v>49.806349206349211</v>
      </c>
      <c r="E9" s="74">
        <f>(D10+0.0045)/0.0056</f>
        <v>10.950963718820862</v>
      </c>
      <c r="F9" s="97">
        <f>(C10/(C9+C10))</f>
        <v>1.139626533561683E-3</v>
      </c>
      <c r="G9" s="32">
        <f>((F9*1000)/1.1)</f>
        <v>1.0360241214197119</v>
      </c>
      <c r="H9" s="32">
        <f>(G9/120.15)*1000</f>
        <v>8.6227559002889027</v>
      </c>
      <c r="I9" s="87"/>
      <c r="J9" s="81">
        <v>3</v>
      </c>
      <c r="K9" s="59" t="s">
        <v>237</v>
      </c>
      <c r="L9" s="89">
        <f>1.75*2.86/0.5/44400*1000*1000*0.01/0.5</f>
        <v>4.5090090090090085</v>
      </c>
      <c r="M9" s="59" t="s">
        <v>124</v>
      </c>
      <c r="N9" s="88">
        <f>AVERAGE(E88,E109)</f>
        <v>4.9392639007514916</v>
      </c>
      <c r="O9" s="88">
        <f>AVERAGE(E93,E114)</f>
        <v>10.254344913776052</v>
      </c>
      <c r="P9" s="88">
        <f>AVERAGE(E98,E119)</f>
        <v>15.201066493221248</v>
      </c>
      <c r="Q9" s="90">
        <f>AVERAGE(E103,E124)</f>
        <v>20.294068612922349</v>
      </c>
      <c r="R9" s="87">
        <v>5.0999999999999996</v>
      </c>
      <c r="S9" s="87"/>
      <c r="T9" s="87"/>
      <c r="U9" s="87"/>
      <c r="V9" s="87"/>
      <c r="W9" s="87"/>
      <c r="X9" s="87"/>
      <c r="Y9" s="87"/>
      <c r="Z9" s="87"/>
      <c r="AA9" s="87"/>
      <c r="AB9" s="87"/>
      <c r="AC9" s="107" t="s">
        <v>227</v>
      </c>
      <c r="AD9" s="107"/>
      <c r="AE9" s="108"/>
      <c r="AF9" s="108">
        <f>R11</f>
        <v>4.5999999999999996</v>
      </c>
      <c r="AG9" s="108">
        <f>R28</f>
        <v>1.9</v>
      </c>
      <c r="AH9" s="89"/>
      <c r="AI9" s="59"/>
      <c r="AJ9" s="88"/>
      <c r="AK9" s="88"/>
      <c r="AL9" s="88"/>
      <c r="AM9" s="88"/>
      <c r="AN9" s="59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</row>
    <row r="10" spans="1:51" s="65" customFormat="1" x14ac:dyDescent="0.4">
      <c r="A10" s="65" t="s">
        <v>5</v>
      </c>
      <c r="B10" s="70">
        <v>4.83</v>
      </c>
      <c r="C10" s="59">
        <v>1.79</v>
      </c>
      <c r="D10" s="31">
        <f>C10/C11</f>
        <v>5.6825396825396828E-2</v>
      </c>
      <c r="E10" s="74"/>
      <c r="G10" s="87"/>
      <c r="H10" s="87"/>
      <c r="I10" s="87"/>
      <c r="J10" s="81"/>
      <c r="K10" s="59"/>
      <c r="L10" s="59"/>
      <c r="M10" s="59" t="s">
        <v>125</v>
      </c>
      <c r="N10" s="59">
        <f>STDEV(E88,E109)</f>
        <v>0.10445209329878741</v>
      </c>
      <c r="O10" s="59">
        <f>STDEV(E93,E114)</f>
        <v>0.13362346758487037</v>
      </c>
      <c r="P10" s="59">
        <f>STDEV(E98,E119)</f>
        <v>0.76960921876060562</v>
      </c>
      <c r="Q10" s="82">
        <f>STDEV(E103,E124)</f>
        <v>0.10020315049046001</v>
      </c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107" t="s">
        <v>232</v>
      </c>
      <c r="AD10" s="107"/>
      <c r="AE10" s="108"/>
      <c r="AF10" s="108"/>
      <c r="AG10" s="108">
        <v>0</v>
      </c>
      <c r="AH10" s="59"/>
      <c r="AI10" s="59"/>
      <c r="AJ10" s="59"/>
      <c r="AK10" s="59"/>
      <c r="AL10" s="59"/>
      <c r="AM10" s="59"/>
      <c r="AN10" s="59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</row>
    <row r="11" spans="1:51" s="65" customFormat="1" ht="15" thickBot="1" x14ac:dyDescent="0.45">
      <c r="A11" s="65" t="s">
        <v>4</v>
      </c>
      <c r="B11" s="75">
        <v>6.2119999999999997</v>
      </c>
      <c r="C11" s="76">
        <v>31.5</v>
      </c>
      <c r="D11" s="76"/>
      <c r="E11" s="77"/>
      <c r="F11" s="65">
        <f>C11/(C9+C10+C11)</f>
        <v>1.9660589568028759E-2</v>
      </c>
      <c r="G11" s="87"/>
      <c r="H11" s="87"/>
      <c r="I11" s="87"/>
      <c r="J11" s="81">
        <v>4</v>
      </c>
      <c r="K11" s="108" t="s">
        <v>403</v>
      </c>
      <c r="L11" s="109">
        <f>(((0.2*0.5*0.185)/0.5)/44400)*1000*1000</f>
        <v>0.83333333333333326</v>
      </c>
      <c r="M11" s="108" t="s">
        <v>124</v>
      </c>
      <c r="N11" s="110">
        <f>AVERAGE(E130,E151)</f>
        <v>3.4169676393284587</v>
      </c>
      <c r="O11" s="110">
        <f>AVERAGE(E135,E156)</f>
        <v>8.1103287353287357</v>
      </c>
      <c r="P11" s="110">
        <f>AVERAGE(E140,E161)</f>
        <v>12.643181142939106</v>
      </c>
      <c r="Q11" s="157">
        <f>AVERAGE(E145,E166)</f>
        <v>17.144617000337163</v>
      </c>
      <c r="R11" s="87">
        <v>4.5999999999999996</v>
      </c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59"/>
      <c r="AF11" s="59"/>
      <c r="AG11" s="59"/>
      <c r="AH11" s="89"/>
      <c r="AI11" s="59"/>
      <c r="AJ11" s="88"/>
      <c r="AK11" s="88"/>
      <c r="AL11" s="88"/>
      <c r="AM11" s="88"/>
      <c r="AN11" s="59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</row>
    <row r="12" spans="1:51" s="78" customFormat="1" ht="15" thickBot="1" x14ac:dyDescent="0.45">
      <c r="A12" s="78" t="s">
        <v>116</v>
      </c>
      <c r="F12" s="79"/>
      <c r="J12" s="81"/>
      <c r="K12" s="59"/>
      <c r="L12" s="59"/>
      <c r="M12" s="59" t="s">
        <v>125</v>
      </c>
      <c r="N12" s="59">
        <f>STDEV(E130,E151)</f>
        <v>0.31457742185805082</v>
      </c>
      <c r="O12" s="59">
        <f>STDEV(E135,E156)</f>
        <v>0.17112001216715608</v>
      </c>
      <c r="P12" s="59">
        <f>STDEV(E140,E161)</f>
        <v>0.396401925897994</v>
      </c>
      <c r="Q12" s="82">
        <f>STDEV(E145,E166)</f>
        <v>0.90209450939152613</v>
      </c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</row>
    <row r="13" spans="1:51" x14ac:dyDescent="0.4">
      <c r="A13" t="s">
        <v>0</v>
      </c>
      <c r="B13" s="66" t="s">
        <v>2</v>
      </c>
      <c r="C13" s="67" t="s">
        <v>1</v>
      </c>
      <c r="D13" s="67" t="s">
        <v>113</v>
      </c>
      <c r="E13" s="11" t="s">
        <v>69</v>
      </c>
      <c r="F13" s="65" t="s">
        <v>180</v>
      </c>
      <c r="G13" s="21" t="s">
        <v>70</v>
      </c>
      <c r="H13" s="21" t="s">
        <v>69</v>
      </c>
      <c r="I13" s="21"/>
      <c r="J13" s="81">
        <v>5</v>
      </c>
      <c r="K13" s="59" t="s">
        <v>239</v>
      </c>
      <c r="L13" s="89">
        <v>0.09</v>
      </c>
      <c r="M13" s="59" t="s">
        <v>124</v>
      </c>
      <c r="N13" s="88">
        <v>0</v>
      </c>
      <c r="O13" s="88">
        <v>0</v>
      </c>
      <c r="P13" s="88">
        <v>0</v>
      </c>
      <c r="Q13" s="90">
        <v>0</v>
      </c>
      <c r="R13" s="21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21"/>
      <c r="AF13" s="59">
        <f>AF9/0.5</f>
        <v>9.1999999999999993</v>
      </c>
      <c r="AG13" s="59"/>
      <c r="AH13" s="59"/>
      <c r="AI13" s="21"/>
      <c r="AJ13" s="21"/>
      <c r="AK13" s="21"/>
      <c r="AL13" s="21"/>
      <c r="AM13" s="21"/>
      <c r="AN13" s="21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</row>
    <row r="14" spans="1:51" ht="15" thickBot="1" x14ac:dyDescent="0.45">
      <c r="A14" t="s">
        <v>3</v>
      </c>
      <c r="B14" s="18">
        <v>3.1</v>
      </c>
      <c r="C14" s="59">
        <v>1197.3</v>
      </c>
      <c r="D14" s="8">
        <f>C14/C16</f>
        <v>50.096234309623433</v>
      </c>
      <c r="E14" s="74">
        <f>(D15+0.0045)/0.0056</f>
        <v>16.269799760908548</v>
      </c>
      <c r="F14" s="97">
        <f>(C15/(C14+C15))</f>
        <v>1.7259061007028689E-3</v>
      </c>
      <c r="G14" s="32">
        <f>((F14*1000)/1.1)</f>
        <v>1.5690055460935171</v>
      </c>
      <c r="H14" s="32">
        <f>(G14/120.15)*1000</f>
        <v>13.058722813928563</v>
      </c>
      <c r="I14" s="21"/>
      <c r="J14" s="85"/>
      <c r="K14" s="86"/>
      <c r="L14" s="86"/>
      <c r="M14" s="86" t="s">
        <v>125</v>
      </c>
      <c r="N14" s="92">
        <v>0</v>
      </c>
      <c r="O14" s="86">
        <v>0</v>
      </c>
      <c r="P14" s="86">
        <v>0</v>
      </c>
      <c r="Q14" s="93">
        <v>0</v>
      </c>
      <c r="R14" s="21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21"/>
      <c r="AF14" s="21"/>
      <c r="AG14" s="21"/>
      <c r="AH14" s="21"/>
      <c r="AI14" s="59"/>
      <c r="AJ14" s="59"/>
      <c r="AK14" s="21"/>
      <c r="AL14" s="21"/>
      <c r="AM14" s="21"/>
      <c r="AN14" s="21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</row>
    <row r="15" spans="1:51" x14ac:dyDescent="0.4">
      <c r="A15" t="s">
        <v>5</v>
      </c>
      <c r="B15" s="18">
        <v>4.83</v>
      </c>
      <c r="C15" s="59">
        <v>2.0699999999999998</v>
      </c>
      <c r="D15" s="32">
        <f>C15/C16</f>
        <v>8.6610878661087867E-2</v>
      </c>
      <c r="E15" s="13"/>
      <c r="F15" s="94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</row>
    <row r="16" spans="1:51" ht="15" thickBot="1" x14ac:dyDescent="0.45">
      <c r="A16" t="s">
        <v>4</v>
      </c>
      <c r="B16" s="20">
        <v>6.2119999999999997</v>
      </c>
      <c r="C16" s="16">
        <v>23.9</v>
      </c>
      <c r="D16" s="16"/>
      <c r="E16" s="24"/>
      <c r="F16" s="65">
        <f>C16/(C14+C15+C16)</f>
        <v>1.953779623468245E-2</v>
      </c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21"/>
      <c r="AG16" s="21"/>
      <c r="AH16" s="21"/>
      <c r="AI16" s="21"/>
      <c r="AJ16" s="21"/>
      <c r="AK16" s="21"/>
      <c r="AL16" s="21"/>
      <c r="AM16" s="21"/>
      <c r="AN16" s="21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</row>
    <row r="17" spans="1:51" s="1" customFormat="1" ht="15" thickBot="1" x14ac:dyDescent="0.45">
      <c r="A17" s="1" t="s">
        <v>117</v>
      </c>
      <c r="F17" s="64"/>
      <c r="G17" s="64"/>
      <c r="H17" s="64"/>
      <c r="I17" s="64"/>
      <c r="J17" s="21"/>
      <c r="K17" s="21"/>
      <c r="L17" s="21"/>
      <c r="M17" s="21"/>
      <c r="N17" s="21"/>
      <c r="O17" s="21"/>
      <c r="P17" s="21"/>
      <c r="Q17" s="21"/>
      <c r="R17" s="21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21"/>
      <c r="AG17" s="21"/>
      <c r="AH17" s="21"/>
      <c r="AI17" s="21"/>
      <c r="AJ17" s="21"/>
      <c r="AK17" s="21"/>
      <c r="AL17" s="21"/>
      <c r="AM17" s="21"/>
      <c r="AN17" s="21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</row>
    <row r="18" spans="1:51" x14ac:dyDescent="0.4">
      <c r="A18" t="s">
        <v>0</v>
      </c>
      <c r="B18" s="66" t="s">
        <v>2</v>
      </c>
      <c r="C18" s="67" t="s">
        <v>1</v>
      </c>
      <c r="D18" s="67" t="s">
        <v>113</v>
      </c>
      <c r="E18" s="11" t="s">
        <v>69</v>
      </c>
      <c r="F18" s="65" t="s">
        <v>180</v>
      </c>
      <c r="G18" s="21" t="s">
        <v>70</v>
      </c>
      <c r="H18" s="21" t="s">
        <v>69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21"/>
      <c r="AG18" s="21"/>
      <c r="AH18" s="21"/>
      <c r="AI18" s="21"/>
      <c r="AJ18" s="21"/>
      <c r="AK18" s="21"/>
      <c r="AL18" s="21"/>
      <c r="AM18" s="21"/>
      <c r="AN18" s="21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</row>
    <row r="19" spans="1:51" x14ac:dyDescent="0.4">
      <c r="A19" t="s">
        <v>3</v>
      </c>
      <c r="B19" s="18">
        <v>3.14</v>
      </c>
      <c r="C19" s="59">
        <v>1203.7</v>
      </c>
      <c r="D19" s="8">
        <f>C19/C21</f>
        <v>52.334782608695654</v>
      </c>
      <c r="E19" s="74">
        <f>(D20+0.0045)/0.0056</f>
        <v>22.387422360248443</v>
      </c>
      <c r="F19" s="97">
        <f>(C20/(C19+C20))</f>
        <v>2.304223857834361E-3</v>
      </c>
      <c r="G19" s="32">
        <f>((F19*1000)/1.1)</f>
        <v>2.0947489616676012</v>
      </c>
      <c r="H19" s="32">
        <f>(G19/120.15)*1000</f>
        <v>17.434448286871422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21"/>
      <c r="AG19" s="21"/>
      <c r="AH19" s="21"/>
      <c r="AI19" s="21"/>
      <c r="AJ19" s="21"/>
      <c r="AK19" s="21"/>
      <c r="AL19" s="21"/>
      <c r="AM19" s="21"/>
      <c r="AN19" s="21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</row>
    <row r="20" spans="1:51" x14ac:dyDescent="0.4">
      <c r="A20" t="s">
        <v>5</v>
      </c>
      <c r="B20" s="18">
        <v>4.83</v>
      </c>
      <c r="C20" s="59">
        <v>2.78</v>
      </c>
      <c r="D20" s="32">
        <f>C20/C21</f>
        <v>0.1208695652173913</v>
      </c>
      <c r="E20" s="13"/>
      <c r="F20" s="6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21"/>
      <c r="AG20" s="21"/>
      <c r="AH20" s="21"/>
      <c r="AI20" s="21"/>
      <c r="AJ20" s="21"/>
      <c r="AK20" s="21"/>
      <c r="AL20" s="21"/>
      <c r="AM20" s="21"/>
      <c r="AN20" s="21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</row>
    <row r="21" spans="1:51" ht="15" thickBot="1" x14ac:dyDescent="0.45">
      <c r="A21" t="s">
        <v>4</v>
      </c>
      <c r="B21" s="20">
        <v>6.2119999999999997</v>
      </c>
      <c r="C21" s="16">
        <v>23</v>
      </c>
      <c r="D21" s="16"/>
      <c r="E21" s="24"/>
      <c r="F21" s="65">
        <f>C21/(C19+C20+C21)</f>
        <v>1.8707095682727656E-2</v>
      </c>
      <c r="J21" s="21"/>
      <c r="K21" s="21"/>
      <c r="L21" s="21"/>
      <c r="M21" s="21"/>
      <c r="N21" s="21"/>
      <c r="O21" s="21"/>
      <c r="P21" s="21"/>
      <c r="Q21" s="21"/>
      <c r="R21" s="21"/>
      <c r="AF21" s="21"/>
      <c r="AG21" s="21"/>
      <c r="AH21" s="21"/>
      <c r="AI21" s="21"/>
      <c r="AJ21" s="21"/>
      <c r="AK21" s="21"/>
      <c r="AL21" s="21"/>
      <c r="AM21" s="21"/>
      <c r="AN21" s="21"/>
    </row>
    <row r="22" spans="1:51" s="4" customFormat="1" x14ac:dyDescent="0.4">
      <c r="A22" s="4" t="s">
        <v>49</v>
      </c>
    </row>
    <row r="23" spans="1:51" s="1" customFormat="1" ht="15" thickBot="1" x14ac:dyDescent="0.45">
      <c r="A23" s="1" t="s">
        <v>118</v>
      </c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</row>
    <row r="24" spans="1:51" s="65" customFormat="1" ht="15" thickBot="1" x14ac:dyDescent="0.45">
      <c r="A24" s="65" t="s">
        <v>0</v>
      </c>
      <c r="B24" s="66" t="s">
        <v>2</v>
      </c>
      <c r="C24" s="67" t="s">
        <v>1</v>
      </c>
      <c r="D24" s="67" t="s">
        <v>113</v>
      </c>
      <c r="E24" s="11" t="s">
        <v>69</v>
      </c>
      <c r="F24" s="71"/>
      <c r="G24" s="59"/>
      <c r="H24" s="59"/>
      <c r="I24" s="59"/>
      <c r="J24" s="87"/>
      <c r="K24" s="87"/>
      <c r="L24" s="87"/>
      <c r="M24" s="87"/>
      <c r="N24" s="87"/>
      <c r="O24" s="87"/>
      <c r="P24" s="87"/>
      <c r="Q24" s="87"/>
      <c r="R24" s="87" t="s">
        <v>221</v>
      </c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</row>
    <row r="25" spans="1:51" s="65" customFormat="1" x14ac:dyDescent="0.4">
      <c r="A25" s="65" t="s">
        <v>3</v>
      </c>
      <c r="B25" s="70">
        <v>3.1</v>
      </c>
      <c r="C25" s="71">
        <v>1561</v>
      </c>
      <c r="D25" s="72">
        <f>C25/C27</f>
        <v>49.24290220820189</v>
      </c>
      <c r="E25" s="74">
        <f>(D26+0.0045)/0.0056</f>
        <v>5.1185781883731414</v>
      </c>
      <c r="F25" s="7">
        <f>C27/(C25+C26+C27)</f>
        <v>1.9893741065074497E-2</v>
      </c>
      <c r="G25" s="59"/>
      <c r="H25" s="59"/>
      <c r="I25" s="59"/>
      <c r="J25" s="68" t="s">
        <v>122</v>
      </c>
      <c r="K25" s="80" t="s">
        <v>123</v>
      </c>
      <c r="L25" s="80" t="s">
        <v>146</v>
      </c>
      <c r="M25" s="80"/>
      <c r="N25" s="80">
        <v>1</v>
      </c>
      <c r="O25" s="80">
        <v>2</v>
      </c>
      <c r="P25" s="80">
        <v>3</v>
      </c>
      <c r="Q25" s="69">
        <v>4</v>
      </c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</row>
    <row r="26" spans="1:51" s="65" customFormat="1" x14ac:dyDescent="0.4">
      <c r="A26" s="65" t="s">
        <v>5</v>
      </c>
      <c r="B26" s="70">
        <v>4.83</v>
      </c>
      <c r="C26" s="71">
        <v>0.76600000000000001</v>
      </c>
      <c r="D26" s="31">
        <f>C26/C27</f>
        <v>2.4164037854889592E-2</v>
      </c>
      <c r="E26" s="74"/>
      <c r="F26" s="72"/>
      <c r="G26" s="59"/>
      <c r="H26" s="59"/>
      <c r="I26" s="59"/>
      <c r="J26" s="81">
        <v>7</v>
      </c>
      <c r="K26" s="108" t="s">
        <v>171</v>
      </c>
      <c r="L26" s="109">
        <v>0.9</v>
      </c>
      <c r="M26" s="108" t="s">
        <v>124</v>
      </c>
      <c r="N26" s="108">
        <f>AVERAGE(E256,E277)</f>
        <v>4.2177353896103895</v>
      </c>
      <c r="O26" s="108">
        <f>AVERAGE(E261,E282)</f>
        <v>8.1845844917129789</v>
      </c>
      <c r="P26" s="108">
        <f>AVERAGE(E266,E287)</f>
        <v>12.726940785932996</v>
      </c>
      <c r="Q26" s="108">
        <f>AVERAGE(E271,E292)</f>
        <v>16.857537657920311</v>
      </c>
      <c r="R26" s="87">
        <v>4.2</v>
      </c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59"/>
      <c r="AF26" s="59"/>
      <c r="AG26" s="59"/>
      <c r="AH26" s="89"/>
      <c r="AI26" s="59"/>
      <c r="AJ26" s="59"/>
      <c r="AK26" s="59"/>
      <c r="AL26" s="59"/>
      <c r="AM26" s="59"/>
      <c r="AN26" s="59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</row>
    <row r="27" spans="1:51" s="65" customFormat="1" ht="15" thickBot="1" x14ac:dyDescent="0.45">
      <c r="A27" s="65" t="s">
        <v>4</v>
      </c>
      <c r="B27" s="75">
        <v>6.2119999999999997</v>
      </c>
      <c r="C27" s="76">
        <v>31.7</v>
      </c>
      <c r="D27" s="76"/>
      <c r="E27" s="77"/>
      <c r="F27" s="71"/>
      <c r="G27" s="59"/>
      <c r="H27" s="59"/>
      <c r="I27" s="59"/>
      <c r="J27" s="81"/>
      <c r="K27" s="59"/>
      <c r="L27" s="59"/>
      <c r="M27" s="59" t="s">
        <v>125</v>
      </c>
      <c r="N27" s="59">
        <f>STDEV(E256,E277)</f>
        <v>0.22240574489430789</v>
      </c>
      <c r="O27" s="59">
        <f>STDEV(E261,E282)</f>
        <v>9.7004508793085767E-2</v>
      </c>
      <c r="P27" s="59">
        <f>STDEV(E266,E287)</f>
        <v>0.16720090130495055</v>
      </c>
      <c r="Q27" s="59">
        <f>STDEV(E271,E292)</f>
        <v>0.12991970439074871</v>
      </c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</row>
    <row r="28" spans="1:51" s="78" customFormat="1" ht="15" thickBot="1" x14ac:dyDescent="0.45">
      <c r="A28" s="78" t="s">
        <v>119</v>
      </c>
      <c r="G28" s="87"/>
      <c r="H28" s="87"/>
      <c r="I28" s="87"/>
      <c r="J28" s="81">
        <v>6</v>
      </c>
      <c r="K28" s="59" t="s">
        <v>172</v>
      </c>
      <c r="L28" s="89">
        <v>0.09</v>
      </c>
      <c r="M28" s="59" t="s">
        <v>124</v>
      </c>
      <c r="N28" s="59">
        <f>AVERAGE(E214,E235)</f>
        <v>2.5703628180762328</v>
      </c>
      <c r="O28" s="59">
        <f>AVERAGE(E219,E240)</f>
        <v>4.2606941530506282</v>
      </c>
      <c r="P28" s="59">
        <f>AVERAGE(E224,E245)</f>
        <v>6.4240945318805487</v>
      </c>
      <c r="Q28" s="82">
        <f>AVERAGE(E229,E250)</f>
        <v>8.3454469507101088</v>
      </c>
      <c r="R28" s="87">
        <v>1.9</v>
      </c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59"/>
      <c r="AF28" s="59"/>
      <c r="AG28" s="59"/>
      <c r="AH28" s="89"/>
      <c r="AI28" s="59"/>
      <c r="AJ28" s="59"/>
      <c r="AK28" s="59"/>
      <c r="AL28" s="59"/>
      <c r="AM28" s="59"/>
      <c r="AN28" s="59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</row>
    <row r="29" spans="1:51" s="65" customFormat="1" x14ac:dyDescent="0.4">
      <c r="A29" s="65" t="s">
        <v>0</v>
      </c>
      <c r="B29" s="66" t="s">
        <v>2</v>
      </c>
      <c r="C29" s="67" t="s">
        <v>1</v>
      </c>
      <c r="D29" s="67" t="s">
        <v>113</v>
      </c>
      <c r="E29" s="11" t="s">
        <v>69</v>
      </c>
      <c r="G29" s="87"/>
      <c r="H29" s="87"/>
      <c r="I29" s="87"/>
      <c r="J29" s="81"/>
      <c r="K29" s="59"/>
      <c r="L29" s="59"/>
      <c r="M29" s="59" t="s">
        <v>125</v>
      </c>
      <c r="N29" s="59">
        <f>STDEV(E214,E235)</f>
        <v>3.4460349877670722E-2</v>
      </c>
      <c r="O29" s="59">
        <f>STDEV(E219,E240)</f>
        <v>0.12156746057973372</v>
      </c>
      <c r="P29" s="59">
        <f>STDEV(E224,E245)</f>
        <v>0.13046020239052561</v>
      </c>
      <c r="Q29" s="82">
        <f>STDEV(E229,E250)</f>
        <v>0.18770524621723148</v>
      </c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</row>
    <row r="30" spans="1:51" s="65" customFormat="1" x14ac:dyDescent="0.4">
      <c r="A30" s="65" t="s">
        <v>3</v>
      </c>
      <c r="B30" s="70">
        <v>3.14</v>
      </c>
      <c r="C30" s="59">
        <v>1775</v>
      </c>
      <c r="D30" s="72">
        <f>C30/C32</f>
        <v>50.42613636363636</v>
      </c>
      <c r="E30" s="74">
        <f>(D31+0.0045)/0.0056</f>
        <v>11.000405844155841</v>
      </c>
      <c r="F30" s="7">
        <f>C32/(C30+C31+C32)</f>
        <v>1.9423797462766457E-2</v>
      </c>
      <c r="G30" s="87"/>
      <c r="H30" s="87"/>
      <c r="I30" s="87"/>
      <c r="J30" s="81">
        <v>5</v>
      </c>
      <c r="K30" s="59" t="s">
        <v>173</v>
      </c>
      <c r="L30" s="89">
        <v>0.09</v>
      </c>
      <c r="M30" s="59" t="s">
        <v>124</v>
      </c>
      <c r="N30" s="88">
        <v>0</v>
      </c>
      <c r="O30" s="88">
        <v>0</v>
      </c>
      <c r="P30" s="88">
        <v>0</v>
      </c>
      <c r="Q30" s="90">
        <v>0</v>
      </c>
      <c r="R30" s="87">
        <v>0</v>
      </c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59"/>
      <c r="AF30" s="59"/>
      <c r="AG30" s="59"/>
      <c r="AH30" s="89"/>
      <c r="AI30" s="59"/>
      <c r="AJ30" s="88"/>
      <c r="AK30" s="88"/>
      <c r="AL30" s="88"/>
      <c r="AM30" s="88"/>
      <c r="AN30" s="59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</row>
    <row r="31" spans="1:51" s="65" customFormat="1" x14ac:dyDescent="0.4">
      <c r="A31" s="65" t="s">
        <v>5</v>
      </c>
      <c r="B31" s="70">
        <v>4.83</v>
      </c>
      <c r="C31" s="59">
        <v>2.0099999999999998</v>
      </c>
      <c r="D31" s="31">
        <f>C31/C32</f>
        <v>5.7102272727272717E-2</v>
      </c>
      <c r="E31" s="74"/>
      <c r="G31" s="87"/>
      <c r="H31" s="87"/>
      <c r="I31" s="87"/>
      <c r="J31" s="81"/>
      <c r="K31" s="59"/>
      <c r="L31" s="59"/>
      <c r="M31" s="59" t="s">
        <v>125</v>
      </c>
      <c r="N31" s="91">
        <v>0</v>
      </c>
      <c r="O31" s="59">
        <v>0</v>
      </c>
      <c r="P31" s="59">
        <v>0</v>
      </c>
      <c r="Q31" s="82">
        <v>0</v>
      </c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59"/>
      <c r="AF31" s="59"/>
      <c r="AG31" s="59"/>
      <c r="AH31" s="59"/>
      <c r="AI31" s="59"/>
      <c r="AJ31" s="91"/>
      <c r="AK31" s="59"/>
      <c r="AL31" s="59"/>
      <c r="AM31" s="59"/>
      <c r="AN31" s="59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</row>
    <row r="32" spans="1:51" s="65" customFormat="1" ht="15" thickBot="1" x14ac:dyDescent="0.45">
      <c r="A32" s="65" t="s">
        <v>4</v>
      </c>
      <c r="B32" s="75">
        <v>6.2119999999999997</v>
      </c>
      <c r="C32" s="76">
        <v>35.200000000000003</v>
      </c>
      <c r="D32" s="76"/>
      <c r="E32" s="77"/>
      <c r="G32" s="87"/>
      <c r="H32" s="87"/>
      <c r="I32" s="87"/>
      <c r="J32" s="81"/>
      <c r="K32" s="59"/>
      <c r="L32" s="89"/>
      <c r="M32" s="59"/>
      <c r="N32" s="88"/>
      <c r="O32" s="88"/>
      <c r="P32" s="88"/>
      <c r="Q32" s="90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59"/>
      <c r="AF32" s="59"/>
      <c r="AG32" s="59"/>
      <c r="AH32" s="89"/>
      <c r="AI32" s="59"/>
      <c r="AJ32" s="88"/>
      <c r="AK32" s="88"/>
      <c r="AL32" s="88"/>
      <c r="AM32" s="88"/>
      <c r="AN32" s="59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</row>
    <row r="33" spans="1:51" s="78" customFormat="1" ht="15" thickBot="1" x14ac:dyDescent="0.45">
      <c r="A33" s="78" t="s">
        <v>120</v>
      </c>
      <c r="F33" s="79"/>
      <c r="G33" s="87"/>
      <c r="H33" s="87"/>
      <c r="I33" s="87"/>
      <c r="J33" s="81"/>
      <c r="K33" s="59"/>
      <c r="L33" s="59"/>
      <c r="M33" s="59"/>
      <c r="N33" s="59"/>
      <c r="O33" s="59"/>
      <c r="P33" s="59"/>
      <c r="Q33" s="82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</row>
    <row r="34" spans="1:51" ht="15" thickBot="1" x14ac:dyDescent="0.45">
      <c r="A34" t="s">
        <v>0</v>
      </c>
      <c r="B34" s="66" t="s">
        <v>2</v>
      </c>
      <c r="C34" s="67" t="s">
        <v>1</v>
      </c>
      <c r="D34" s="67" t="s">
        <v>113</v>
      </c>
      <c r="E34" s="11" t="s">
        <v>69</v>
      </c>
      <c r="F34" s="6"/>
      <c r="G34" s="21"/>
      <c r="H34" s="21"/>
      <c r="I34" s="21"/>
      <c r="J34" s="85"/>
      <c r="K34" s="86"/>
      <c r="L34" s="86"/>
      <c r="M34" s="83"/>
      <c r="N34" s="83"/>
      <c r="O34" s="83"/>
      <c r="P34" s="83"/>
      <c r="Q34" s="84"/>
      <c r="R34" s="21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21"/>
      <c r="AF34" s="59"/>
      <c r="AG34" s="59"/>
      <c r="AH34" s="59"/>
      <c r="AI34" s="21"/>
      <c r="AJ34" s="21"/>
      <c r="AK34" s="21"/>
      <c r="AL34" s="21"/>
      <c r="AM34" s="21"/>
      <c r="AN34" s="21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</row>
    <row r="35" spans="1:51" x14ac:dyDescent="0.4">
      <c r="A35" t="s">
        <v>3</v>
      </c>
      <c r="B35" s="18">
        <v>3.1</v>
      </c>
      <c r="C35" s="59">
        <v>1232.3</v>
      </c>
      <c r="D35" s="8">
        <f>C35/C37</f>
        <v>50.711934156378597</v>
      </c>
      <c r="E35" s="74">
        <f>(D36+0.0045)/0.0056</f>
        <v>16.162184009406232</v>
      </c>
      <c r="F35" s="7">
        <f>C37/(C35+C36+C37)</f>
        <v>1.9305786174514776E-2</v>
      </c>
      <c r="G35" s="21"/>
      <c r="H35" s="21"/>
      <c r="I35" s="21"/>
      <c r="J35" s="21"/>
      <c r="K35" s="21"/>
      <c r="L35" s="21"/>
      <c r="M35" s="59"/>
      <c r="N35" s="59"/>
      <c r="O35" s="21"/>
      <c r="P35" s="21"/>
      <c r="Q35" s="21"/>
      <c r="R35" s="21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21"/>
      <c r="AF35" s="21"/>
      <c r="AG35" s="21"/>
      <c r="AH35" s="21"/>
      <c r="AI35" s="59"/>
      <c r="AJ35" s="59"/>
      <c r="AK35" s="21"/>
      <c r="AL35" s="21"/>
      <c r="AM35" s="21"/>
      <c r="AN35" s="21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</row>
    <row r="36" spans="1:51" x14ac:dyDescent="0.4">
      <c r="A36" t="s">
        <v>5</v>
      </c>
      <c r="B36" s="18">
        <v>4.83</v>
      </c>
      <c r="C36" s="59">
        <v>2.09</v>
      </c>
      <c r="D36" s="32">
        <f>C36/C37</f>
        <v>8.6008230452674889E-2</v>
      </c>
      <c r="E36" s="13"/>
      <c r="F36" s="8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</row>
    <row r="37" spans="1:51" ht="15" thickBot="1" x14ac:dyDescent="0.45">
      <c r="A37" t="s">
        <v>4</v>
      </c>
      <c r="B37" s="20">
        <v>6.2119999999999997</v>
      </c>
      <c r="C37" s="16">
        <v>24.3</v>
      </c>
      <c r="D37" s="16"/>
      <c r="E37" s="24"/>
      <c r="F37" s="6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</row>
    <row r="38" spans="1:51" s="1" customFormat="1" ht="15" thickBot="1" x14ac:dyDescent="0.45">
      <c r="A38" s="78" t="s">
        <v>121</v>
      </c>
      <c r="F38" s="64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21"/>
      <c r="AG38" s="21"/>
      <c r="AH38" s="21"/>
      <c r="AI38" s="21"/>
      <c r="AJ38" s="21"/>
      <c r="AK38" s="21"/>
      <c r="AL38" s="21"/>
      <c r="AM38" s="21"/>
      <c r="AN38" s="21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</row>
    <row r="39" spans="1:51" x14ac:dyDescent="0.4">
      <c r="A39" t="s">
        <v>0</v>
      </c>
      <c r="B39" s="66" t="s">
        <v>2</v>
      </c>
      <c r="C39" s="67" t="s">
        <v>1</v>
      </c>
      <c r="D39" s="67" t="s">
        <v>113</v>
      </c>
      <c r="E39" s="11" t="s">
        <v>69</v>
      </c>
      <c r="F39" s="6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21"/>
      <c r="AG39" s="21"/>
      <c r="AH39" s="21"/>
      <c r="AI39" s="21"/>
      <c r="AJ39" s="21"/>
      <c r="AK39" s="21"/>
      <c r="AL39" s="21"/>
      <c r="AM39" s="21"/>
      <c r="AN39" s="21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</row>
    <row r="40" spans="1:51" x14ac:dyDescent="0.4">
      <c r="A40" t="s">
        <v>3</v>
      </c>
      <c r="B40" s="18">
        <v>3.14</v>
      </c>
      <c r="C40" s="59">
        <v>1149.2</v>
      </c>
      <c r="D40" s="8">
        <f>C40/C42</f>
        <v>51.533632286995513</v>
      </c>
      <c r="E40" s="74">
        <f>(D41+0.0045)/0.0056</f>
        <v>21.703635490070468</v>
      </c>
      <c r="F40" s="7">
        <f>C42/(C40+C41+C42)</f>
        <v>1.8993109674562011E-2</v>
      </c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21"/>
      <c r="AG40" s="21"/>
      <c r="AH40" s="21"/>
      <c r="AI40" s="21"/>
      <c r="AJ40" s="21"/>
      <c r="AK40" s="21"/>
      <c r="AL40" s="21"/>
      <c r="AM40" s="21"/>
      <c r="AN40" s="21"/>
      <c r="AO40" s="60"/>
      <c r="AP40" s="60"/>
      <c r="AQ40" s="60"/>
      <c r="AR40" s="60"/>
      <c r="AS40" s="60"/>
      <c r="AT40" s="60"/>
      <c r="AU40" s="60"/>
      <c r="AV40" s="60"/>
      <c r="AW40" s="60"/>
      <c r="AX40" s="60"/>
      <c r="AY40" s="60"/>
    </row>
    <row r="41" spans="1:51" x14ac:dyDescent="0.4">
      <c r="A41" t="s">
        <v>5</v>
      </c>
      <c r="B41" s="18">
        <v>4.83</v>
      </c>
      <c r="C41" s="59">
        <v>2.61</v>
      </c>
      <c r="D41" s="32">
        <f>C41/C42</f>
        <v>0.11704035874439461</v>
      </c>
      <c r="E41" s="13"/>
      <c r="F41" s="6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21"/>
      <c r="AG41" s="21"/>
      <c r="AH41" s="21"/>
      <c r="AI41" s="21"/>
      <c r="AJ41" s="21"/>
      <c r="AK41" s="21"/>
      <c r="AL41" s="21"/>
      <c r="AM41" s="21"/>
      <c r="AN41" s="21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</row>
    <row r="42" spans="1:51" ht="15" thickBot="1" x14ac:dyDescent="0.45">
      <c r="A42" t="s">
        <v>4</v>
      </c>
      <c r="B42" s="20">
        <v>6.2119999999999997</v>
      </c>
      <c r="C42" s="16">
        <v>22.3</v>
      </c>
      <c r="D42" s="16"/>
      <c r="E42" s="24"/>
      <c r="G42" s="60"/>
      <c r="H42" s="60"/>
      <c r="I42" s="60"/>
      <c r="J42" s="21"/>
      <c r="K42" s="21"/>
      <c r="L42" s="21"/>
      <c r="M42" s="21"/>
      <c r="N42" s="21"/>
      <c r="O42" s="21"/>
      <c r="P42" s="21"/>
      <c r="Q42" s="21"/>
      <c r="R42" s="21"/>
      <c r="AE42" s="60"/>
      <c r="AF42" s="21"/>
      <c r="AG42" s="21"/>
      <c r="AH42" s="21"/>
      <c r="AI42" s="21"/>
      <c r="AJ42" s="21"/>
      <c r="AK42" s="21"/>
      <c r="AL42" s="21"/>
      <c r="AM42" s="21"/>
      <c r="AN42" s="21"/>
    </row>
    <row r="43" spans="1:51" s="4" customFormat="1" x14ac:dyDescent="0.4">
      <c r="A43" s="4" t="s">
        <v>49</v>
      </c>
    </row>
    <row r="44" spans="1:51" s="1" customFormat="1" ht="15" thickBot="1" x14ac:dyDescent="0.45">
      <c r="A44" s="1" t="s">
        <v>126</v>
      </c>
    </row>
    <row r="45" spans="1:51" s="65" customFormat="1" x14ac:dyDescent="0.4">
      <c r="A45" s="65" t="s">
        <v>0</v>
      </c>
      <c r="B45" s="66" t="s">
        <v>2</v>
      </c>
      <c r="C45" s="67" t="s">
        <v>1</v>
      </c>
      <c r="D45" s="67" t="s">
        <v>113</v>
      </c>
      <c r="E45" s="11" t="s">
        <v>69</v>
      </c>
      <c r="F45" s="71"/>
      <c r="G45" s="71"/>
      <c r="H45" s="59"/>
      <c r="I45" s="59"/>
    </row>
    <row r="46" spans="1:51" s="65" customFormat="1" x14ac:dyDescent="0.4">
      <c r="A46" s="65" t="s">
        <v>3</v>
      </c>
      <c r="B46" s="70">
        <v>3.1</v>
      </c>
      <c r="C46" s="71">
        <v>1370.5</v>
      </c>
      <c r="D46" s="72">
        <f>C46/C48</f>
        <v>49.836363636363636</v>
      </c>
      <c r="E46" s="74">
        <f>(D47+0.0045)/0.0056</f>
        <v>2.8944805194805197</v>
      </c>
      <c r="F46" s="7">
        <f>C48/(C46+C47+C48)</f>
        <v>1.9666428762473882E-2</v>
      </c>
      <c r="G46" s="71"/>
      <c r="H46" s="71"/>
      <c r="I46" s="71"/>
    </row>
    <row r="47" spans="1:51" s="65" customFormat="1" x14ac:dyDescent="0.4">
      <c r="A47" s="65" t="s">
        <v>5</v>
      </c>
      <c r="B47" s="70">
        <v>4.83</v>
      </c>
      <c r="C47" s="71">
        <v>0.32200000000000001</v>
      </c>
      <c r="D47" s="31">
        <f>C47/C48</f>
        <v>1.1709090909090909E-2</v>
      </c>
      <c r="E47" s="74"/>
      <c r="F47" s="72"/>
      <c r="G47" s="71"/>
      <c r="H47" s="71"/>
      <c r="I47" s="71"/>
    </row>
    <row r="48" spans="1:51" s="65" customFormat="1" ht="15" thickBot="1" x14ac:dyDescent="0.45">
      <c r="A48" s="65" t="s">
        <v>4</v>
      </c>
      <c r="B48" s="75">
        <v>6.2119999999999997</v>
      </c>
      <c r="C48" s="76">
        <v>27.5</v>
      </c>
      <c r="D48" s="76"/>
      <c r="E48" s="77"/>
      <c r="F48" s="71"/>
      <c r="G48" s="71"/>
      <c r="H48" s="71"/>
      <c r="I48" s="71"/>
    </row>
    <row r="49" spans="1:9" s="78" customFormat="1" ht="15" thickBot="1" x14ac:dyDescent="0.45">
      <c r="A49" s="1" t="s">
        <v>127</v>
      </c>
    </row>
    <row r="50" spans="1:9" s="65" customFormat="1" x14ac:dyDescent="0.4">
      <c r="A50" s="65" t="s">
        <v>0</v>
      </c>
      <c r="B50" s="66" t="s">
        <v>2</v>
      </c>
      <c r="C50" s="67" t="s">
        <v>1</v>
      </c>
      <c r="D50" s="67" t="s">
        <v>113</v>
      </c>
      <c r="E50" s="11" t="s">
        <v>69</v>
      </c>
    </row>
    <row r="51" spans="1:9" s="65" customFormat="1" x14ac:dyDescent="0.4">
      <c r="A51" s="65" t="s">
        <v>3</v>
      </c>
      <c r="B51" s="70">
        <v>3.14</v>
      </c>
      <c r="C51" s="59">
        <v>1452.4</v>
      </c>
      <c r="D51" s="72">
        <f>C51/C53</f>
        <v>50.08275862068966</v>
      </c>
      <c r="E51" s="74">
        <f>(D52+0.0045)/0.0056</f>
        <v>4.7259852216748772</v>
      </c>
      <c r="F51" s="7">
        <f>C53/(C51+C52+C53)</f>
        <v>1.9567662615710673E-2</v>
      </c>
    </row>
    <row r="52" spans="1:9" s="65" customFormat="1" x14ac:dyDescent="0.4">
      <c r="A52" s="65" t="s">
        <v>5</v>
      </c>
      <c r="B52" s="70">
        <v>4.83</v>
      </c>
      <c r="C52" s="59">
        <v>0.63700000000000001</v>
      </c>
      <c r="D52" s="31">
        <f>C52/C53</f>
        <v>2.1965517241379309E-2</v>
      </c>
      <c r="E52" s="74"/>
    </row>
    <row r="53" spans="1:9" s="65" customFormat="1" ht="15" thickBot="1" x14ac:dyDescent="0.45">
      <c r="A53" s="65" t="s">
        <v>4</v>
      </c>
      <c r="B53" s="75">
        <v>6.2119999999999997</v>
      </c>
      <c r="C53" s="76">
        <v>29</v>
      </c>
      <c r="D53" s="76"/>
      <c r="E53" s="77"/>
    </row>
    <row r="54" spans="1:9" s="78" customFormat="1" ht="15" thickBot="1" x14ac:dyDescent="0.45">
      <c r="A54" s="1" t="s">
        <v>128</v>
      </c>
      <c r="F54" s="79"/>
    </row>
    <row r="55" spans="1:9" x14ac:dyDescent="0.4">
      <c r="A55" t="s">
        <v>0</v>
      </c>
      <c r="B55" s="66" t="s">
        <v>2</v>
      </c>
      <c r="C55" s="67" t="s">
        <v>1</v>
      </c>
      <c r="D55" s="67" t="s">
        <v>113</v>
      </c>
      <c r="E55" s="11" t="s">
        <v>69</v>
      </c>
      <c r="F55" s="6"/>
      <c r="G55" s="6"/>
      <c r="H55" s="21"/>
      <c r="I55" s="21"/>
    </row>
    <row r="56" spans="1:9" x14ac:dyDescent="0.4">
      <c r="A56" t="s">
        <v>3</v>
      </c>
      <c r="B56" s="18">
        <v>3.1</v>
      </c>
      <c r="C56" s="59">
        <v>1067.5</v>
      </c>
      <c r="D56" s="8">
        <f>C56/C58</f>
        <v>50.592417061611371</v>
      </c>
      <c r="E56" s="74">
        <f>(D57+0.0045)/0.0056</f>
        <v>6.7785206499661461</v>
      </c>
      <c r="F56" s="7">
        <f>C58/(C56+C57+C58)</f>
        <v>1.9370131074280327E-2</v>
      </c>
      <c r="G56" s="6"/>
      <c r="H56" s="6"/>
      <c r="I56" s="6"/>
    </row>
    <row r="57" spans="1:9" x14ac:dyDescent="0.4">
      <c r="A57" t="s">
        <v>5</v>
      </c>
      <c r="B57" s="18">
        <v>4.83</v>
      </c>
      <c r="C57" s="59">
        <v>0.70599999999999996</v>
      </c>
      <c r="D57" s="32">
        <f>C57/C58</f>
        <v>3.3459715639810421E-2</v>
      </c>
      <c r="E57" s="13"/>
      <c r="F57" s="8"/>
      <c r="G57" s="6"/>
      <c r="H57" s="6"/>
      <c r="I57" s="6"/>
    </row>
    <row r="58" spans="1:9" ht="15" thickBot="1" x14ac:dyDescent="0.45">
      <c r="A58" t="s">
        <v>4</v>
      </c>
      <c r="B58" s="20">
        <v>6.2119999999999997</v>
      </c>
      <c r="C58" s="16">
        <v>21.1</v>
      </c>
      <c r="D58" s="16"/>
      <c r="E58" s="24"/>
      <c r="F58" s="6"/>
      <c r="G58" s="6"/>
      <c r="H58" s="6"/>
      <c r="I58" s="6"/>
    </row>
    <row r="59" spans="1:9" s="1" customFormat="1" ht="15" thickBot="1" x14ac:dyDescent="0.45">
      <c r="A59" s="1" t="s">
        <v>129</v>
      </c>
      <c r="F59" s="64"/>
      <c r="G59" s="64"/>
      <c r="H59" s="64"/>
      <c r="I59" s="64"/>
    </row>
    <row r="60" spans="1:9" x14ac:dyDescent="0.4">
      <c r="A60" t="s">
        <v>0</v>
      </c>
      <c r="B60" s="66" t="s">
        <v>2</v>
      </c>
      <c r="C60" s="67" t="s">
        <v>1</v>
      </c>
      <c r="D60" s="67" t="s">
        <v>113</v>
      </c>
      <c r="E60" s="11" t="s">
        <v>69</v>
      </c>
      <c r="F60" s="6"/>
      <c r="G60" s="6"/>
      <c r="H60" s="6"/>
      <c r="I60" s="6"/>
    </row>
    <row r="61" spans="1:9" x14ac:dyDescent="0.4">
      <c r="A61" t="s">
        <v>3</v>
      </c>
      <c r="B61" s="18">
        <v>3.14</v>
      </c>
      <c r="C61" s="59">
        <v>1099.4000000000001</v>
      </c>
      <c r="D61" s="8">
        <f>C61/C63</f>
        <v>50.898148148148152</v>
      </c>
      <c r="E61" s="74">
        <f>(D62+0.0045)/0.0056</f>
        <v>8.3515211640211628</v>
      </c>
      <c r="F61" s="7">
        <f>C63/(C61+C62+C63)</f>
        <v>1.9252829764874819E-2</v>
      </c>
      <c r="G61" s="6"/>
      <c r="H61" s="6"/>
      <c r="I61" s="6"/>
    </row>
    <row r="62" spans="1:9" x14ac:dyDescent="0.4">
      <c r="A62" t="s">
        <v>5</v>
      </c>
      <c r="B62" s="18">
        <v>4.83</v>
      </c>
      <c r="C62" s="59">
        <v>0.91300000000000003</v>
      </c>
      <c r="D62" s="32">
        <f>C62/C63</f>
        <v>4.2268518518518518E-2</v>
      </c>
      <c r="E62" s="13"/>
      <c r="F62" s="6"/>
      <c r="G62" s="6"/>
      <c r="H62" s="6"/>
      <c r="I62" s="6"/>
    </row>
    <row r="63" spans="1:9" ht="15" thickBot="1" x14ac:dyDescent="0.45">
      <c r="A63" t="s">
        <v>4</v>
      </c>
      <c r="B63" s="20">
        <v>6.2119999999999997</v>
      </c>
      <c r="C63" s="16">
        <v>21.6</v>
      </c>
      <c r="D63" s="16"/>
      <c r="E63" s="24"/>
    </row>
    <row r="64" spans="1:9" s="4" customFormat="1" x14ac:dyDescent="0.4">
      <c r="A64" s="4" t="s">
        <v>49</v>
      </c>
    </row>
    <row r="65" spans="1:9" s="1" customFormat="1" ht="15" thickBot="1" x14ac:dyDescent="0.45">
      <c r="A65" s="1" t="s">
        <v>130</v>
      </c>
    </row>
    <row r="66" spans="1:9" s="65" customFormat="1" x14ac:dyDescent="0.4">
      <c r="A66" s="65" t="s">
        <v>0</v>
      </c>
      <c r="B66" s="66" t="s">
        <v>2</v>
      </c>
      <c r="C66" s="67" t="s">
        <v>1</v>
      </c>
      <c r="D66" s="67" t="s">
        <v>113</v>
      </c>
      <c r="E66" s="11" t="s">
        <v>69</v>
      </c>
      <c r="F66" s="71"/>
      <c r="G66" s="71"/>
      <c r="H66" s="59"/>
      <c r="I66" s="59"/>
    </row>
    <row r="67" spans="1:9" s="65" customFormat="1" x14ac:dyDescent="0.4">
      <c r="A67" s="65" t="s">
        <v>3</v>
      </c>
      <c r="B67" s="70">
        <v>3.1</v>
      </c>
      <c r="C67" s="71">
        <v>1399.9</v>
      </c>
      <c r="D67" s="72">
        <f>C67/C69</f>
        <v>49.11929824561404</v>
      </c>
      <c r="E67" s="74">
        <f>(D68+0.0045)/0.0056</f>
        <v>3.0278822055137846</v>
      </c>
      <c r="F67" s="7">
        <f>C69/(C67+C68+C69)</f>
        <v>1.994743675437706E-2</v>
      </c>
      <c r="G67" s="71"/>
      <c r="H67" s="71"/>
      <c r="I67" s="71"/>
    </row>
    <row r="68" spans="1:9" s="65" customFormat="1" x14ac:dyDescent="0.4">
      <c r="A68" s="65" t="s">
        <v>5</v>
      </c>
      <c r="B68" s="70">
        <v>4.83</v>
      </c>
      <c r="C68" s="71">
        <v>0.35499999999999998</v>
      </c>
      <c r="D68" s="31">
        <f>C68/C69</f>
        <v>1.2456140350877193E-2</v>
      </c>
      <c r="E68" s="74"/>
      <c r="F68" s="72"/>
      <c r="G68" s="71"/>
      <c r="H68" s="71"/>
      <c r="I68" s="71"/>
    </row>
    <row r="69" spans="1:9" s="65" customFormat="1" ht="15" thickBot="1" x14ac:dyDescent="0.45">
      <c r="A69" s="65" t="s">
        <v>4</v>
      </c>
      <c r="B69" s="75">
        <v>6.2119999999999997</v>
      </c>
      <c r="C69" s="76">
        <v>28.5</v>
      </c>
      <c r="D69" s="76"/>
      <c r="E69" s="77"/>
      <c r="F69" s="71"/>
      <c r="G69" s="71"/>
      <c r="H69" s="71"/>
      <c r="I69" s="71"/>
    </row>
    <row r="70" spans="1:9" s="78" customFormat="1" ht="15" thickBot="1" x14ac:dyDescent="0.45">
      <c r="A70" s="1" t="s">
        <v>131</v>
      </c>
    </row>
    <row r="71" spans="1:9" s="65" customFormat="1" x14ac:dyDescent="0.4">
      <c r="A71" s="65" t="s">
        <v>0</v>
      </c>
      <c r="B71" s="66" t="s">
        <v>2</v>
      </c>
      <c r="C71" s="67" t="s">
        <v>1</v>
      </c>
      <c r="D71" s="67" t="s">
        <v>113</v>
      </c>
      <c r="E71" s="11" t="s">
        <v>69</v>
      </c>
    </row>
    <row r="72" spans="1:9" s="65" customFormat="1" x14ac:dyDescent="0.4">
      <c r="A72" s="65" t="s">
        <v>3</v>
      </c>
      <c r="B72" s="70">
        <v>3.14</v>
      </c>
      <c r="C72" s="59">
        <v>1412.8</v>
      </c>
      <c r="D72" s="72">
        <f>C72/C74</f>
        <v>50.099290780141843</v>
      </c>
      <c r="E72" s="74">
        <f>(D73+0.0045)/0.0056</f>
        <v>5.0778875379939219</v>
      </c>
      <c r="F72" s="7">
        <f>C74/(C72+C73+C74)</f>
        <v>1.956058057467876E-2</v>
      </c>
    </row>
    <row r="73" spans="1:9" s="65" customFormat="1" x14ac:dyDescent="0.4">
      <c r="A73" s="65" t="s">
        <v>5</v>
      </c>
      <c r="B73" s="70">
        <v>4.83</v>
      </c>
      <c r="C73" s="59">
        <v>0.67500000000000004</v>
      </c>
      <c r="D73" s="31">
        <f>C73/C74</f>
        <v>2.3936170212765961E-2</v>
      </c>
      <c r="E73" s="74"/>
    </row>
    <row r="74" spans="1:9" s="65" customFormat="1" ht="15" thickBot="1" x14ac:dyDescent="0.45">
      <c r="A74" s="65" t="s">
        <v>4</v>
      </c>
      <c r="B74" s="75">
        <v>6.2119999999999997</v>
      </c>
      <c r="C74" s="76">
        <v>28.2</v>
      </c>
      <c r="D74" s="76"/>
      <c r="E74" s="77"/>
    </row>
    <row r="75" spans="1:9" s="78" customFormat="1" ht="15" thickBot="1" x14ac:dyDescent="0.45">
      <c r="A75" s="1" t="s">
        <v>132</v>
      </c>
      <c r="F75" s="79"/>
    </row>
    <row r="76" spans="1:9" x14ac:dyDescent="0.4">
      <c r="A76" t="s">
        <v>0</v>
      </c>
      <c r="B76" s="66" t="s">
        <v>2</v>
      </c>
      <c r="C76" s="67" t="s">
        <v>1</v>
      </c>
      <c r="D76" s="67" t="s">
        <v>113</v>
      </c>
      <c r="E76" s="11" t="s">
        <v>69</v>
      </c>
      <c r="F76" s="6"/>
      <c r="G76" s="6"/>
      <c r="H76" s="21"/>
      <c r="I76" s="21"/>
    </row>
    <row r="77" spans="1:9" x14ac:dyDescent="0.4">
      <c r="A77" t="s">
        <v>3</v>
      </c>
      <c r="B77" s="18">
        <v>3.1</v>
      </c>
      <c r="C77" s="59">
        <v>1157.5</v>
      </c>
      <c r="D77" s="8">
        <f>C77/C79</f>
        <v>50.767543859649123</v>
      </c>
      <c r="E77" s="74">
        <f>(D78+0.0045)/0.0056</f>
        <v>6.9752506265664156</v>
      </c>
      <c r="F77" s="7">
        <f>C79/(C77+C78+C79)</f>
        <v>1.9304234739494434E-2</v>
      </c>
      <c r="G77" s="6"/>
      <c r="H77" s="6"/>
      <c r="I77" s="6"/>
    </row>
    <row r="78" spans="1:9" x14ac:dyDescent="0.4">
      <c r="A78" t="s">
        <v>5</v>
      </c>
      <c r="B78" s="18">
        <v>4.83</v>
      </c>
      <c r="C78" s="59">
        <v>0.78800000000000003</v>
      </c>
      <c r="D78" s="32">
        <f>C78/C79</f>
        <v>3.4561403508771932E-2</v>
      </c>
      <c r="E78" s="13"/>
      <c r="F78" s="8"/>
      <c r="G78" s="6"/>
      <c r="H78" s="6"/>
      <c r="I78" s="6"/>
    </row>
    <row r="79" spans="1:9" ht="15" thickBot="1" x14ac:dyDescent="0.45">
      <c r="A79" t="s">
        <v>4</v>
      </c>
      <c r="B79" s="20">
        <v>6.2119999999999997</v>
      </c>
      <c r="C79" s="16">
        <v>22.8</v>
      </c>
      <c r="D79" s="16"/>
      <c r="E79" s="24"/>
      <c r="F79" s="6"/>
      <c r="G79" s="6"/>
      <c r="H79" s="6"/>
      <c r="I79" s="6"/>
    </row>
    <row r="80" spans="1:9" s="1" customFormat="1" ht="15" thickBot="1" x14ac:dyDescent="0.45">
      <c r="A80" s="1" t="s">
        <v>133</v>
      </c>
      <c r="F80" s="64"/>
      <c r="G80" s="64"/>
      <c r="H80" s="64"/>
      <c r="I80" s="64"/>
    </row>
    <row r="81" spans="1:9" x14ac:dyDescent="0.4">
      <c r="A81" t="s">
        <v>0</v>
      </c>
      <c r="B81" s="66" t="s">
        <v>2</v>
      </c>
      <c r="C81" s="67" t="s">
        <v>1</v>
      </c>
      <c r="D81" s="67" t="s">
        <v>113</v>
      </c>
      <c r="E81" s="11" t="s">
        <v>69</v>
      </c>
      <c r="F81" s="6"/>
      <c r="G81" s="6"/>
      <c r="H81" s="6"/>
      <c r="I81" s="6"/>
    </row>
    <row r="82" spans="1:9" x14ac:dyDescent="0.4">
      <c r="A82" t="s">
        <v>3</v>
      </c>
      <c r="B82" s="18">
        <v>3.14</v>
      </c>
      <c r="C82" s="59">
        <v>1095.5</v>
      </c>
      <c r="D82" s="8">
        <f>C82/C84</f>
        <v>51.674528301886795</v>
      </c>
      <c r="E82" s="74">
        <f>(D83+0.0045)/0.0056</f>
        <v>8.4349730458221028</v>
      </c>
      <c r="F82" s="7">
        <f>C84/(C82+C83+C84)</f>
        <v>1.8969117918121413E-2</v>
      </c>
      <c r="G82" s="6"/>
      <c r="H82" s="6"/>
      <c r="I82" s="6"/>
    </row>
    <row r="83" spans="1:9" x14ac:dyDescent="0.4">
      <c r="A83" t="s">
        <v>5</v>
      </c>
      <c r="B83" s="18">
        <v>4.83</v>
      </c>
      <c r="C83" s="59">
        <v>0.90600000000000003</v>
      </c>
      <c r="D83" s="32">
        <f>C83/C84</f>
        <v>4.2735849056603777E-2</v>
      </c>
      <c r="E83" s="13"/>
      <c r="F83" s="6"/>
      <c r="G83" s="6"/>
      <c r="H83" s="6"/>
      <c r="I83" s="6"/>
    </row>
    <row r="84" spans="1:9" ht="15" thickBot="1" x14ac:dyDescent="0.45">
      <c r="A84" t="s">
        <v>4</v>
      </c>
      <c r="B84" s="20">
        <v>6.2119999999999997</v>
      </c>
      <c r="C84" s="16">
        <v>21.2</v>
      </c>
      <c r="D84" s="16"/>
      <c r="E84" s="24"/>
    </row>
    <row r="85" spans="1:9" s="4" customFormat="1" x14ac:dyDescent="0.4">
      <c r="A85" s="4" t="s">
        <v>49</v>
      </c>
    </row>
    <row r="86" spans="1:9" s="1" customFormat="1" ht="15" thickBot="1" x14ac:dyDescent="0.45">
      <c r="A86" s="1" t="s">
        <v>134</v>
      </c>
    </row>
    <row r="87" spans="1:9" s="65" customFormat="1" x14ac:dyDescent="0.4">
      <c r="A87" s="65" t="s">
        <v>0</v>
      </c>
      <c r="B87" s="66" t="s">
        <v>2</v>
      </c>
      <c r="C87" s="67" t="s">
        <v>1</v>
      </c>
      <c r="D87" s="67" t="s">
        <v>113</v>
      </c>
      <c r="E87" s="11" t="s">
        <v>69</v>
      </c>
      <c r="F87" s="71"/>
      <c r="G87" s="71"/>
      <c r="H87" s="59"/>
      <c r="I87" s="59"/>
    </row>
    <row r="88" spans="1:9" s="65" customFormat="1" x14ac:dyDescent="0.4">
      <c r="A88" s="65" t="s">
        <v>3</v>
      </c>
      <c r="B88" s="70">
        <v>3.1</v>
      </c>
      <c r="C88" s="71">
        <v>1656.5</v>
      </c>
      <c r="D88" s="72">
        <f>C88/C90</f>
        <v>49.447761194029852</v>
      </c>
      <c r="E88" s="74">
        <f>(D89+0.0045)/0.0056</f>
        <v>4.8654051172707886</v>
      </c>
      <c r="F88" s="7">
        <f>C90/(C88+C89+C90)</f>
        <v>1.9813551522922801E-2</v>
      </c>
      <c r="G88" s="71"/>
      <c r="H88" s="71"/>
      <c r="I88" s="71"/>
    </row>
    <row r="89" spans="1:9" s="65" customFormat="1" x14ac:dyDescent="0.4">
      <c r="A89" s="65" t="s">
        <v>5</v>
      </c>
      <c r="B89" s="70">
        <v>4.83</v>
      </c>
      <c r="C89" s="71">
        <v>0.76200000000000001</v>
      </c>
      <c r="D89" s="31">
        <f>C89/C90</f>
        <v>2.2746268656716417E-2</v>
      </c>
      <c r="E89" s="74"/>
      <c r="F89" s="72"/>
      <c r="G89" s="71"/>
      <c r="H89" s="71"/>
      <c r="I89" s="71"/>
    </row>
    <row r="90" spans="1:9" s="65" customFormat="1" ht="15" thickBot="1" x14ac:dyDescent="0.45">
      <c r="A90" s="65" t="s">
        <v>4</v>
      </c>
      <c r="B90" s="75">
        <v>6.2119999999999997</v>
      </c>
      <c r="C90" s="76">
        <v>33.5</v>
      </c>
      <c r="D90" s="76"/>
      <c r="E90" s="77"/>
      <c r="F90" s="71"/>
      <c r="G90" s="71"/>
      <c r="H90" s="71"/>
      <c r="I90" s="71"/>
    </row>
    <row r="91" spans="1:9" s="78" customFormat="1" ht="15" thickBot="1" x14ac:dyDescent="0.45">
      <c r="A91" s="1" t="s">
        <v>135</v>
      </c>
    </row>
    <row r="92" spans="1:9" s="65" customFormat="1" x14ac:dyDescent="0.4">
      <c r="A92" s="65" t="s">
        <v>0</v>
      </c>
      <c r="B92" s="66" t="s">
        <v>2</v>
      </c>
      <c r="C92" s="67" t="s">
        <v>1</v>
      </c>
      <c r="D92" s="67" t="s">
        <v>113</v>
      </c>
      <c r="E92" s="11" t="s">
        <v>69</v>
      </c>
    </row>
    <row r="93" spans="1:9" s="65" customFormat="1" x14ac:dyDescent="0.4">
      <c r="A93" s="65" t="s">
        <v>3</v>
      </c>
      <c r="B93" s="70">
        <v>3.14</v>
      </c>
      <c r="C93" s="59">
        <v>1695.8</v>
      </c>
      <c r="D93" s="72">
        <f>C93/C95</f>
        <v>50.772455089820362</v>
      </c>
      <c r="E93" s="74">
        <f>(D94+0.0045)/0.0056</f>
        <v>10.159858853721129</v>
      </c>
      <c r="F93" s="7">
        <f>C95/(C93+C94+C95)</f>
        <v>1.9295762442589327E-2</v>
      </c>
    </row>
    <row r="94" spans="1:9" s="65" customFormat="1" x14ac:dyDescent="0.4">
      <c r="A94" s="65" t="s">
        <v>5</v>
      </c>
      <c r="B94" s="70">
        <v>4.83</v>
      </c>
      <c r="C94" s="59">
        <v>1.75</v>
      </c>
      <c r="D94" s="31">
        <f>C94/C95</f>
        <v>5.2395209580838327E-2</v>
      </c>
      <c r="E94" s="74"/>
    </row>
    <row r="95" spans="1:9" s="65" customFormat="1" ht="15" thickBot="1" x14ac:dyDescent="0.45">
      <c r="A95" s="65" t="s">
        <v>4</v>
      </c>
      <c r="B95" s="75">
        <v>6.2119999999999997</v>
      </c>
      <c r="C95" s="76">
        <v>33.4</v>
      </c>
      <c r="D95" s="76"/>
      <c r="E95" s="77"/>
    </row>
    <row r="96" spans="1:9" s="78" customFormat="1" ht="15" thickBot="1" x14ac:dyDescent="0.45">
      <c r="A96" s="1" t="s">
        <v>136</v>
      </c>
      <c r="F96" s="79"/>
    </row>
    <row r="97" spans="1:9" x14ac:dyDescent="0.4">
      <c r="A97" t="s">
        <v>0</v>
      </c>
      <c r="B97" s="66" t="s">
        <v>2</v>
      </c>
      <c r="C97" s="67" t="s">
        <v>1</v>
      </c>
      <c r="D97" s="67" t="s">
        <v>113</v>
      </c>
      <c r="E97" s="11" t="s">
        <v>69</v>
      </c>
      <c r="F97" s="6"/>
      <c r="G97" s="6"/>
      <c r="H97" s="21"/>
      <c r="I97" s="21"/>
    </row>
    <row r="98" spans="1:9" x14ac:dyDescent="0.4">
      <c r="A98" t="s">
        <v>3</v>
      </c>
      <c r="B98" s="18">
        <v>3.1</v>
      </c>
      <c r="C98" s="59">
        <v>1132.9000000000001</v>
      </c>
      <c r="D98" s="8">
        <f>C98/C100</f>
        <v>50.802690582959642</v>
      </c>
      <c r="E98" s="74">
        <f>(D99+0.0045)/0.0056</f>
        <v>14.656870595771942</v>
      </c>
      <c r="F98" s="7">
        <f>C100/(C98+C99+C100)</f>
        <v>1.9275150614125314E-2</v>
      </c>
      <c r="G98" s="6"/>
      <c r="H98" s="6"/>
      <c r="I98" s="6"/>
    </row>
    <row r="99" spans="1:9" x14ac:dyDescent="0.4">
      <c r="A99" t="s">
        <v>5</v>
      </c>
      <c r="B99" s="18">
        <v>4.83</v>
      </c>
      <c r="C99" s="59">
        <v>1.73</v>
      </c>
      <c r="D99" s="32">
        <f>C99/C100</f>
        <v>7.7578475336322866E-2</v>
      </c>
      <c r="E99" s="13"/>
      <c r="F99" s="8"/>
      <c r="G99" s="6"/>
      <c r="H99" s="6"/>
      <c r="I99" s="6"/>
    </row>
    <row r="100" spans="1:9" ht="15" thickBot="1" x14ac:dyDescent="0.45">
      <c r="A100" t="s">
        <v>4</v>
      </c>
      <c r="B100" s="20">
        <v>6.2119999999999997</v>
      </c>
      <c r="C100" s="16">
        <v>22.3</v>
      </c>
      <c r="D100" s="16"/>
      <c r="E100" s="24"/>
      <c r="F100" s="6"/>
      <c r="G100" s="6"/>
      <c r="H100" s="6"/>
      <c r="I100" s="6"/>
    </row>
    <row r="101" spans="1:9" s="1" customFormat="1" ht="15" thickBot="1" x14ac:dyDescent="0.45">
      <c r="A101" s="1" t="s">
        <v>137</v>
      </c>
      <c r="F101" s="64"/>
      <c r="G101" s="64"/>
      <c r="H101" s="64"/>
      <c r="I101" s="64"/>
    </row>
    <row r="102" spans="1:9" x14ac:dyDescent="0.4">
      <c r="A102" t="s">
        <v>0</v>
      </c>
      <c r="B102" s="66" t="s">
        <v>2</v>
      </c>
      <c r="C102" s="67" t="s">
        <v>1</v>
      </c>
      <c r="D102" s="67" t="s">
        <v>113</v>
      </c>
      <c r="E102" s="11" t="s">
        <v>69</v>
      </c>
      <c r="F102" s="6"/>
      <c r="G102" s="6"/>
      <c r="H102" s="6"/>
      <c r="I102" s="6"/>
    </row>
    <row r="103" spans="1:9" x14ac:dyDescent="0.4">
      <c r="A103" t="s">
        <v>3</v>
      </c>
      <c r="B103" s="18">
        <v>3.14</v>
      </c>
      <c r="C103" s="59">
        <v>1253.3</v>
      </c>
      <c r="D103" s="8">
        <f>C103/C105</f>
        <v>52.004149377593357</v>
      </c>
      <c r="E103" s="74">
        <f>(D104+0.0045)/0.0056</f>
        <v>20.364922940130409</v>
      </c>
      <c r="F103" s="6"/>
      <c r="G103" s="6"/>
      <c r="H103" s="6"/>
      <c r="I103" s="6"/>
    </row>
    <row r="104" spans="1:9" x14ac:dyDescent="0.4">
      <c r="A104" t="s">
        <v>5</v>
      </c>
      <c r="B104" s="18">
        <v>4.83</v>
      </c>
      <c r="C104" s="59">
        <v>2.64</v>
      </c>
      <c r="D104" s="32">
        <f>C104/C105</f>
        <v>0.10954356846473029</v>
      </c>
      <c r="E104" s="13"/>
      <c r="F104" s="6"/>
      <c r="G104" s="6"/>
      <c r="H104" s="6"/>
      <c r="I104" s="6"/>
    </row>
    <row r="105" spans="1:9" ht="15" thickBot="1" x14ac:dyDescent="0.45">
      <c r="A105" t="s">
        <v>4</v>
      </c>
      <c r="B105" s="20">
        <v>6.2119999999999997</v>
      </c>
      <c r="C105" s="16">
        <v>24.1</v>
      </c>
      <c r="D105" s="16"/>
      <c r="E105" s="24"/>
    </row>
    <row r="106" spans="1:9" s="4" customFormat="1" x14ac:dyDescent="0.4">
      <c r="A106" s="4" t="s">
        <v>49</v>
      </c>
    </row>
    <row r="107" spans="1:9" s="1" customFormat="1" ht="15" thickBot="1" x14ac:dyDescent="0.45">
      <c r="A107" s="1" t="s">
        <v>138</v>
      </c>
    </row>
    <row r="108" spans="1:9" s="65" customFormat="1" x14ac:dyDescent="0.4">
      <c r="A108" s="65" t="s">
        <v>0</v>
      </c>
      <c r="B108" s="66" t="s">
        <v>2</v>
      </c>
      <c r="C108" s="67" t="s">
        <v>1</v>
      </c>
      <c r="D108" s="67" t="s">
        <v>113</v>
      </c>
      <c r="E108" s="11" t="s">
        <v>69</v>
      </c>
      <c r="F108" s="71"/>
      <c r="G108" s="71"/>
      <c r="H108" s="59"/>
      <c r="I108" s="59"/>
    </row>
    <row r="109" spans="1:9" s="65" customFormat="1" x14ac:dyDescent="0.4">
      <c r="A109" s="65" t="s">
        <v>3</v>
      </c>
      <c r="B109" s="70">
        <v>3.1</v>
      </c>
      <c r="C109" s="71">
        <v>1731.5</v>
      </c>
      <c r="D109" s="72">
        <f>C109/C111</f>
        <v>49.899135446685875</v>
      </c>
      <c r="E109" s="74">
        <f>(D110+0.0045)/0.0056</f>
        <v>5.0131226842321936</v>
      </c>
      <c r="F109" s="73"/>
      <c r="G109" s="71"/>
      <c r="H109" s="71"/>
      <c r="I109" s="71"/>
    </row>
    <row r="110" spans="1:9" s="65" customFormat="1" x14ac:dyDescent="0.4">
      <c r="A110" s="65" t="s">
        <v>5</v>
      </c>
      <c r="B110" s="70">
        <v>4.83</v>
      </c>
      <c r="C110" s="71">
        <v>0.81799999999999995</v>
      </c>
      <c r="D110" s="31">
        <f>C110/C111</f>
        <v>2.3573487031700285E-2</v>
      </c>
      <c r="E110" s="74"/>
      <c r="F110" s="72"/>
      <c r="G110" s="71"/>
      <c r="H110" s="71"/>
      <c r="I110" s="71"/>
    </row>
    <row r="111" spans="1:9" s="65" customFormat="1" ht="15" thickBot="1" x14ac:dyDescent="0.45">
      <c r="A111" s="65" t="s">
        <v>4</v>
      </c>
      <c r="B111" s="75">
        <v>6.2119999999999997</v>
      </c>
      <c r="C111" s="76">
        <v>34.700000000000003</v>
      </c>
      <c r="D111" s="76"/>
      <c r="E111" s="77"/>
      <c r="F111" s="71"/>
      <c r="G111" s="71"/>
      <c r="H111" s="71"/>
      <c r="I111" s="71"/>
    </row>
    <row r="112" spans="1:9" s="78" customFormat="1" ht="15" thickBot="1" x14ac:dyDescent="0.45">
      <c r="A112" s="1" t="s">
        <v>139</v>
      </c>
    </row>
    <row r="113" spans="1:9" s="65" customFormat="1" x14ac:dyDescent="0.4">
      <c r="A113" s="65" t="s">
        <v>0</v>
      </c>
      <c r="B113" s="66" t="s">
        <v>2</v>
      </c>
      <c r="C113" s="67" t="s">
        <v>1</v>
      </c>
      <c r="D113" s="67" t="s">
        <v>113</v>
      </c>
      <c r="E113" s="11" t="s">
        <v>69</v>
      </c>
    </row>
    <row r="114" spans="1:9" s="65" customFormat="1" x14ac:dyDescent="0.4">
      <c r="A114" s="65" t="s">
        <v>3</v>
      </c>
      <c r="B114" s="70">
        <v>3.14</v>
      </c>
      <c r="C114" s="59">
        <v>1683.2</v>
      </c>
      <c r="D114" s="72">
        <f>C114/C116</f>
        <v>50.546546546546551</v>
      </c>
      <c r="E114" s="74">
        <f>(D115+0.0045)/0.0056</f>
        <v>10.348830973830975</v>
      </c>
    </row>
    <row r="115" spans="1:9" s="65" customFormat="1" x14ac:dyDescent="0.4">
      <c r="A115" s="65" t="s">
        <v>5</v>
      </c>
      <c r="B115" s="70">
        <v>4.83</v>
      </c>
      <c r="C115" s="59">
        <v>1.78</v>
      </c>
      <c r="D115" s="31">
        <f>C115/C116</f>
        <v>5.345345345345346E-2</v>
      </c>
      <c r="E115" s="74"/>
    </row>
    <row r="116" spans="1:9" s="65" customFormat="1" ht="15" thickBot="1" x14ac:dyDescent="0.45">
      <c r="A116" s="65" t="s">
        <v>4</v>
      </c>
      <c r="B116" s="75">
        <v>6.2119999999999997</v>
      </c>
      <c r="C116" s="76">
        <v>33.299999999999997</v>
      </c>
      <c r="D116" s="76"/>
      <c r="E116" s="77"/>
    </row>
    <row r="117" spans="1:9" s="78" customFormat="1" ht="15" thickBot="1" x14ac:dyDescent="0.45">
      <c r="A117" s="1" t="s">
        <v>140</v>
      </c>
      <c r="F117" s="79"/>
    </row>
    <row r="118" spans="1:9" x14ac:dyDescent="0.4">
      <c r="A118" t="s">
        <v>0</v>
      </c>
      <c r="B118" s="66" t="s">
        <v>2</v>
      </c>
      <c r="C118" s="67" t="s">
        <v>1</v>
      </c>
      <c r="D118" s="67" t="s">
        <v>113</v>
      </c>
      <c r="E118" s="11" t="s">
        <v>69</v>
      </c>
      <c r="F118" s="6"/>
      <c r="G118" s="6"/>
      <c r="H118" s="21"/>
      <c r="I118" s="21"/>
    </row>
    <row r="119" spans="1:9" x14ac:dyDescent="0.4">
      <c r="A119" t="s">
        <v>3</v>
      </c>
      <c r="B119" s="18">
        <v>3.1</v>
      </c>
      <c r="C119" s="59">
        <v>1238.9000000000001</v>
      </c>
      <c r="D119" s="8">
        <f>C119/C121</f>
        <v>50.567346938775515</v>
      </c>
      <c r="E119" s="74">
        <f>(D120+0.0045)/0.0056</f>
        <v>15.745262390670552</v>
      </c>
      <c r="F119" s="63"/>
      <c r="G119" s="6"/>
      <c r="H119" s="6"/>
      <c r="I119" s="6"/>
    </row>
    <row r="120" spans="1:9" x14ac:dyDescent="0.4">
      <c r="A120" t="s">
        <v>5</v>
      </c>
      <c r="B120" s="18">
        <v>4.83</v>
      </c>
      <c r="C120" s="59">
        <v>2.0499999999999998</v>
      </c>
      <c r="D120" s="32">
        <f>C120/C121</f>
        <v>8.3673469387755092E-2</v>
      </c>
      <c r="E120" s="13"/>
      <c r="F120" s="8"/>
      <c r="G120" s="6"/>
      <c r="H120" s="6"/>
      <c r="I120" s="6"/>
    </row>
    <row r="121" spans="1:9" ht="15" thickBot="1" x14ac:dyDescent="0.45">
      <c r="A121" t="s">
        <v>4</v>
      </c>
      <c r="B121" s="20">
        <v>6.2119999999999997</v>
      </c>
      <c r="C121" s="16">
        <v>24.5</v>
      </c>
      <c r="D121" s="16"/>
      <c r="E121" s="24"/>
      <c r="F121" s="6"/>
      <c r="G121" s="6"/>
      <c r="H121" s="6"/>
      <c r="I121" s="6"/>
    </row>
    <row r="122" spans="1:9" s="1" customFormat="1" ht="15" thickBot="1" x14ac:dyDescent="0.45">
      <c r="A122" s="1" t="s">
        <v>141</v>
      </c>
      <c r="F122" s="64"/>
      <c r="G122" s="64"/>
      <c r="H122" s="64"/>
      <c r="I122" s="64"/>
    </row>
    <row r="123" spans="1:9" x14ac:dyDescent="0.4">
      <c r="A123" t="s">
        <v>0</v>
      </c>
      <c r="B123" s="66" t="s">
        <v>2</v>
      </c>
      <c r="C123" s="67" t="s">
        <v>1</v>
      </c>
      <c r="D123" s="67" t="s">
        <v>113</v>
      </c>
      <c r="E123" s="11" t="s">
        <v>69</v>
      </c>
      <c r="F123" s="6"/>
      <c r="G123" s="6"/>
      <c r="H123" s="6"/>
      <c r="I123" s="6"/>
    </row>
    <row r="124" spans="1:9" x14ac:dyDescent="0.4">
      <c r="A124" t="s">
        <v>3</v>
      </c>
      <c r="B124" s="18">
        <v>3.14</v>
      </c>
      <c r="C124" s="59">
        <v>1239.9000000000001</v>
      </c>
      <c r="D124" s="8">
        <f>C124/C126</f>
        <v>51.662500000000001</v>
      </c>
      <c r="E124" s="74">
        <f>(D125+0.0045)/0.0056</f>
        <v>20.223214285714288</v>
      </c>
      <c r="F124" s="6"/>
      <c r="G124" s="6"/>
      <c r="H124" s="6"/>
      <c r="I124" s="6"/>
    </row>
    <row r="125" spans="1:9" x14ac:dyDescent="0.4">
      <c r="A125" t="s">
        <v>5</v>
      </c>
      <c r="B125" s="18">
        <v>4.83</v>
      </c>
      <c r="C125" s="59">
        <v>2.61</v>
      </c>
      <c r="D125" s="32">
        <f>C125/C126</f>
        <v>0.10875</v>
      </c>
      <c r="E125" s="13"/>
      <c r="F125" s="6"/>
      <c r="G125" s="6"/>
      <c r="H125" s="6"/>
      <c r="I125" s="6"/>
    </row>
    <row r="126" spans="1:9" ht="15" thickBot="1" x14ac:dyDescent="0.45">
      <c r="A126" t="s">
        <v>4</v>
      </c>
      <c r="B126" s="20">
        <v>6.2119999999999997</v>
      </c>
      <c r="C126" s="16">
        <v>24</v>
      </c>
      <c r="D126" s="16"/>
      <c r="E126" s="24"/>
    </row>
    <row r="127" spans="1:9" s="4" customFormat="1" x14ac:dyDescent="0.4">
      <c r="A127" s="4" t="s">
        <v>49</v>
      </c>
    </row>
    <row r="128" spans="1:9" s="1" customFormat="1" ht="15" thickBot="1" x14ac:dyDescent="0.45">
      <c r="A128" s="1" t="s">
        <v>142</v>
      </c>
    </row>
    <row r="129" spans="1:9" s="65" customFormat="1" x14ac:dyDescent="0.4">
      <c r="A129" s="65" t="s">
        <v>0</v>
      </c>
      <c r="B129" s="66" t="s">
        <v>2</v>
      </c>
      <c r="C129" s="67" t="s">
        <v>1</v>
      </c>
      <c r="D129" s="67" t="s">
        <v>113</v>
      </c>
      <c r="E129" s="11" t="s">
        <v>69</v>
      </c>
      <c r="F129" s="71"/>
      <c r="G129" s="71"/>
      <c r="H129" s="59"/>
      <c r="I129" s="59"/>
    </row>
    <row r="130" spans="1:9" s="65" customFormat="1" x14ac:dyDescent="0.4">
      <c r="A130" s="65" t="s">
        <v>3</v>
      </c>
      <c r="B130" s="70">
        <v>3.1</v>
      </c>
      <c r="C130" s="71">
        <v>1778.7</v>
      </c>
      <c r="D130" s="72">
        <f>C130/C132</f>
        <v>50.53125</v>
      </c>
      <c r="E130" s="74">
        <f>(D131+0.0045)/0.0056</f>
        <v>3.6394074675324677</v>
      </c>
      <c r="F130" s="73"/>
      <c r="G130" s="71"/>
      <c r="H130" s="71"/>
      <c r="I130" s="71"/>
    </row>
    <row r="131" spans="1:9" s="65" customFormat="1" x14ac:dyDescent="0.4">
      <c r="A131" s="65" t="s">
        <v>5</v>
      </c>
      <c r="B131" s="70">
        <v>4.83</v>
      </c>
      <c r="C131" s="71">
        <v>0.55900000000000005</v>
      </c>
      <c r="D131" s="31">
        <f>C131/C132</f>
        <v>1.5880681818181818E-2</v>
      </c>
      <c r="E131" s="74"/>
      <c r="F131" s="72"/>
      <c r="G131" s="71"/>
      <c r="H131" s="71"/>
      <c r="I131" s="71"/>
    </row>
    <row r="132" spans="1:9" s="65" customFormat="1" ht="15" thickBot="1" x14ac:dyDescent="0.45">
      <c r="A132" s="65" t="s">
        <v>4</v>
      </c>
      <c r="B132" s="75">
        <v>6.2119999999999997</v>
      </c>
      <c r="C132" s="76">
        <v>35.200000000000003</v>
      </c>
      <c r="D132" s="76"/>
      <c r="E132" s="77"/>
      <c r="F132" s="71"/>
      <c r="G132" s="71"/>
      <c r="H132" s="71"/>
      <c r="I132" s="71"/>
    </row>
    <row r="133" spans="1:9" s="78" customFormat="1" ht="15" thickBot="1" x14ac:dyDescent="0.45">
      <c r="A133" s="1" t="s">
        <v>143</v>
      </c>
    </row>
    <row r="134" spans="1:9" s="65" customFormat="1" x14ac:dyDescent="0.4">
      <c r="A134" s="65" t="s">
        <v>0</v>
      </c>
      <c r="B134" s="66" t="s">
        <v>2</v>
      </c>
      <c r="C134" s="67" t="s">
        <v>1</v>
      </c>
      <c r="D134" s="67" t="s">
        <v>113</v>
      </c>
      <c r="E134" s="11" t="s">
        <v>69</v>
      </c>
    </row>
    <row r="135" spans="1:9" s="65" customFormat="1" x14ac:dyDescent="0.4">
      <c r="A135" s="65" t="s">
        <v>3</v>
      </c>
      <c r="B135" s="70">
        <v>3.14</v>
      </c>
      <c r="C135" s="59">
        <v>1776.3</v>
      </c>
      <c r="D135" s="72">
        <f>C135/C137</f>
        <v>50.606837606837601</v>
      </c>
      <c r="E135" s="74">
        <f>(D136+0.0045)/0.0056</f>
        <v>8.2313288563288562</v>
      </c>
    </row>
    <row r="136" spans="1:9" s="65" customFormat="1" x14ac:dyDescent="0.4">
      <c r="A136" s="65" t="s">
        <v>5</v>
      </c>
      <c r="B136" s="70">
        <v>4.83</v>
      </c>
      <c r="C136" s="59">
        <v>1.46</v>
      </c>
      <c r="D136" s="31">
        <f>C136/C137</f>
        <v>4.1595441595441596E-2</v>
      </c>
      <c r="E136" s="74"/>
    </row>
    <row r="137" spans="1:9" s="65" customFormat="1" ht="15" thickBot="1" x14ac:dyDescent="0.45">
      <c r="A137" s="65" t="s">
        <v>4</v>
      </c>
      <c r="B137" s="75">
        <v>6.2119999999999997</v>
      </c>
      <c r="C137" s="76">
        <v>35.1</v>
      </c>
      <c r="D137" s="76"/>
      <c r="E137" s="77"/>
    </row>
    <row r="138" spans="1:9" s="78" customFormat="1" ht="15" thickBot="1" x14ac:dyDescent="0.45">
      <c r="A138" s="1" t="s">
        <v>144</v>
      </c>
      <c r="F138" s="79"/>
    </row>
    <row r="139" spans="1:9" x14ac:dyDescent="0.4">
      <c r="A139" t="s">
        <v>0</v>
      </c>
      <c r="B139" s="66" t="s">
        <v>2</v>
      </c>
      <c r="C139" s="67" t="s">
        <v>1</v>
      </c>
      <c r="D139" s="67" t="s">
        <v>113</v>
      </c>
      <c r="E139" s="11" t="s">
        <v>69</v>
      </c>
      <c r="F139" s="6"/>
      <c r="G139" s="6"/>
      <c r="H139" s="21"/>
      <c r="I139" s="21"/>
    </row>
    <row r="140" spans="1:9" x14ac:dyDescent="0.4">
      <c r="A140" t="s">
        <v>3</v>
      </c>
      <c r="B140" s="18">
        <v>3.1</v>
      </c>
      <c r="C140" s="59">
        <v>1255</v>
      </c>
      <c r="D140" s="8">
        <f>C140/C142</f>
        <v>50.401606425702816</v>
      </c>
      <c r="E140" s="74">
        <f>(D141+0.0045)/0.0056</f>
        <v>12.923479632816985</v>
      </c>
      <c r="F140" s="63"/>
      <c r="G140" s="6"/>
      <c r="H140" s="6"/>
      <c r="I140" s="6"/>
    </row>
    <row r="141" spans="1:9" x14ac:dyDescent="0.4">
      <c r="A141" t="s">
        <v>5</v>
      </c>
      <c r="B141" s="18">
        <v>4.83</v>
      </c>
      <c r="C141" s="59">
        <v>1.69</v>
      </c>
      <c r="D141" s="32">
        <f>C141/C142</f>
        <v>6.7871485943775109E-2</v>
      </c>
      <c r="E141" s="13"/>
      <c r="F141" s="8"/>
      <c r="G141" s="6"/>
      <c r="H141" s="6"/>
      <c r="I141" s="6"/>
    </row>
    <row r="142" spans="1:9" ht="15" thickBot="1" x14ac:dyDescent="0.45">
      <c r="A142" t="s">
        <v>4</v>
      </c>
      <c r="B142" s="20">
        <v>6.2119999999999997</v>
      </c>
      <c r="C142" s="16">
        <v>24.9</v>
      </c>
      <c r="D142" s="16"/>
      <c r="E142" s="24"/>
      <c r="F142" s="6"/>
      <c r="G142" s="6"/>
      <c r="H142" s="6"/>
      <c r="I142" s="6"/>
    </row>
    <row r="143" spans="1:9" s="1" customFormat="1" ht="15" thickBot="1" x14ac:dyDescent="0.45">
      <c r="A143" s="1" t="s">
        <v>145</v>
      </c>
      <c r="F143" s="64"/>
      <c r="G143" s="64"/>
      <c r="H143" s="64"/>
      <c r="I143" s="64"/>
    </row>
    <row r="144" spans="1:9" x14ac:dyDescent="0.4">
      <c r="A144" t="s">
        <v>0</v>
      </c>
      <c r="B144" s="66" t="s">
        <v>2</v>
      </c>
      <c r="C144" s="67" t="s">
        <v>1</v>
      </c>
      <c r="D144" s="67" t="s">
        <v>113</v>
      </c>
      <c r="E144" s="11" t="s">
        <v>69</v>
      </c>
      <c r="F144" s="6"/>
      <c r="G144" s="6"/>
      <c r="H144" s="6"/>
      <c r="I144" s="6"/>
    </row>
    <row r="145" spans="1:9" x14ac:dyDescent="0.4">
      <c r="A145" t="s">
        <v>3</v>
      </c>
      <c r="B145" s="18">
        <v>3.14</v>
      </c>
      <c r="C145" s="59">
        <v>1276.2</v>
      </c>
      <c r="D145" s="8">
        <f>C145/C147</f>
        <v>52.303278688524593</v>
      </c>
      <c r="E145" s="74">
        <f>(D146+0.0045)/0.0056</f>
        <v>17.782494145199063</v>
      </c>
      <c r="F145" s="6"/>
      <c r="G145" s="6"/>
      <c r="H145" s="6"/>
      <c r="I145" s="6"/>
    </row>
    <row r="146" spans="1:9" x14ac:dyDescent="0.4">
      <c r="A146" t="s">
        <v>5</v>
      </c>
      <c r="B146" s="18">
        <v>4.83</v>
      </c>
      <c r="C146" s="59">
        <v>2.3199999999999998</v>
      </c>
      <c r="D146" s="32">
        <f>C146/C147</f>
        <v>9.5081967213114751E-2</v>
      </c>
      <c r="E146" s="13"/>
      <c r="F146" s="6"/>
      <c r="G146" s="6"/>
      <c r="H146" s="6"/>
      <c r="I146" s="6"/>
    </row>
    <row r="147" spans="1:9" ht="15" thickBot="1" x14ac:dyDescent="0.45">
      <c r="A147" t="s">
        <v>4</v>
      </c>
      <c r="B147" s="20">
        <v>6.2119999999999997</v>
      </c>
      <c r="C147" s="16">
        <v>24.4</v>
      </c>
      <c r="D147" s="16"/>
      <c r="E147" s="24"/>
    </row>
    <row r="148" spans="1:9" s="4" customFormat="1" x14ac:dyDescent="0.4">
      <c r="A148" s="4" t="s">
        <v>49</v>
      </c>
    </row>
    <row r="149" spans="1:9" s="1" customFormat="1" ht="15" thickBot="1" x14ac:dyDescent="0.45">
      <c r="A149" s="1" t="s">
        <v>147</v>
      </c>
    </row>
    <row r="150" spans="1:9" s="65" customFormat="1" x14ac:dyDescent="0.4">
      <c r="A150" s="65" t="s">
        <v>0</v>
      </c>
      <c r="B150" s="66" t="s">
        <v>2</v>
      </c>
      <c r="C150" s="67" t="s">
        <v>1</v>
      </c>
      <c r="D150" s="67" t="s">
        <v>113</v>
      </c>
      <c r="E150" s="11" t="s">
        <v>69</v>
      </c>
      <c r="F150" s="71"/>
      <c r="G150" s="71"/>
      <c r="H150" s="59"/>
      <c r="I150" s="59"/>
    </row>
    <row r="151" spans="1:9" s="65" customFormat="1" x14ac:dyDescent="0.4">
      <c r="A151" s="65" t="s">
        <v>3</v>
      </c>
      <c r="B151" s="70">
        <v>3.1</v>
      </c>
      <c r="C151" s="71">
        <v>1778.5</v>
      </c>
      <c r="D151" s="72">
        <f>C151/C153</f>
        <v>49.817927170868344</v>
      </c>
      <c r="E151" s="74">
        <f>(D152+0.0045)/0.0056</f>
        <v>3.1945278111244497</v>
      </c>
      <c r="F151" s="73"/>
      <c r="G151" s="71"/>
      <c r="H151" s="71"/>
      <c r="I151" s="71"/>
    </row>
    <row r="152" spans="1:9" s="65" customFormat="1" x14ac:dyDescent="0.4">
      <c r="A152" s="65" t="s">
        <v>5</v>
      </c>
      <c r="B152" s="70">
        <v>4.83</v>
      </c>
      <c r="C152" s="71">
        <v>0.47799999999999998</v>
      </c>
      <c r="D152" s="31">
        <f>C152/C153</f>
        <v>1.3389355742296917E-2</v>
      </c>
      <c r="E152" s="74"/>
      <c r="F152" s="72"/>
      <c r="G152" s="71"/>
      <c r="H152" s="71"/>
      <c r="I152" s="71"/>
    </row>
    <row r="153" spans="1:9" s="65" customFormat="1" ht="15" thickBot="1" x14ac:dyDescent="0.45">
      <c r="A153" s="65" t="s">
        <v>4</v>
      </c>
      <c r="B153" s="75">
        <v>6.2119999999999997</v>
      </c>
      <c r="C153" s="76">
        <v>35.700000000000003</v>
      </c>
      <c r="D153" s="76"/>
      <c r="E153" s="77"/>
      <c r="F153" s="71"/>
      <c r="G153" s="71"/>
      <c r="H153" s="71"/>
      <c r="I153" s="71"/>
    </row>
    <row r="154" spans="1:9" s="78" customFormat="1" ht="15" thickBot="1" x14ac:dyDescent="0.45">
      <c r="A154" s="1" t="s">
        <v>148</v>
      </c>
    </row>
    <row r="155" spans="1:9" s="65" customFormat="1" x14ac:dyDescent="0.4">
      <c r="A155" s="65" t="s">
        <v>0</v>
      </c>
      <c r="B155" s="66" t="s">
        <v>2</v>
      </c>
      <c r="C155" s="67" t="s">
        <v>1</v>
      </c>
      <c r="D155" s="67" t="s">
        <v>113</v>
      </c>
      <c r="E155" s="11" t="s">
        <v>69</v>
      </c>
    </row>
    <row r="156" spans="1:9" s="65" customFormat="1" x14ac:dyDescent="0.4">
      <c r="A156" s="65" t="s">
        <v>3</v>
      </c>
      <c r="B156" s="70">
        <v>3.14</v>
      </c>
      <c r="C156" s="59">
        <v>1700.5</v>
      </c>
      <c r="D156" s="72">
        <f>C156/C158</f>
        <v>51.066066066066071</v>
      </c>
      <c r="E156" s="74">
        <f>(D157+0.0045)/0.0056</f>
        <v>7.9893286143286151</v>
      </c>
    </row>
    <row r="157" spans="1:9" s="65" customFormat="1" x14ac:dyDescent="0.4">
      <c r="A157" s="65" t="s">
        <v>5</v>
      </c>
      <c r="B157" s="70">
        <v>4.83</v>
      </c>
      <c r="C157" s="59">
        <v>1.34</v>
      </c>
      <c r="D157" s="31">
        <f>C157/C158</f>
        <v>4.0240240240240248E-2</v>
      </c>
      <c r="E157" s="74"/>
    </row>
    <row r="158" spans="1:9" s="65" customFormat="1" ht="15" thickBot="1" x14ac:dyDescent="0.45">
      <c r="A158" s="65" t="s">
        <v>4</v>
      </c>
      <c r="B158" s="75">
        <v>6.2119999999999997</v>
      </c>
      <c r="C158" s="76">
        <v>33.299999999999997</v>
      </c>
      <c r="D158" s="76"/>
      <c r="E158" s="77"/>
    </row>
    <row r="159" spans="1:9" s="78" customFormat="1" ht="15" thickBot="1" x14ac:dyDescent="0.45">
      <c r="A159" s="1" t="s">
        <v>149</v>
      </c>
      <c r="F159" s="79"/>
    </row>
    <row r="160" spans="1:9" x14ac:dyDescent="0.4">
      <c r="A160" t="s">
        <v>0</v>
      </c>
      <c r="B160" s="66" t="s">
        <v>2</v>
      </c>
      <c r="C160" s="67" t="s">
        <v>1</v>
      </c>
      <c r="D160" s="67" t="s">
        <v>113</v>
      </c>
      <c r="E160" s="11" t="s">
        <v>69</v>
      </c>
      <c r="F160" s="6"/>
      <c r="G160" s="6"/>
      <c r="H160" s="21"/>
      <c r="I160" s="21"/>
    </row>
    <row r="161" spans="1:9" x14ac:dyDescent="0.4">
      <c r="A161" t="s">
        <v>3</v>
      </c>
      <c r="B161" s="18">
        <v>3.1</v>
      </c>
      <c r="C161" s="59">
        <v>1142.4000000000001</v>
      </c>
      <c r="D161" s="8">
        <f>C161/C163</f>
        <v>51.000000000000007</v>
      </c>
      <c r="E161" s="74">
        <f>(D162+0.0045)/0.0056</f>
        <v>12.362882653061227</v>
      </c>
      <c r="F161" s="63"/>
      <c r="G161" s="6"/>
      <c r="H161" s="6"/>
      <c r="I161" s="6"/>
    </row>
    <row r="162" spans="1:9" x14ac:dyDescent="0.4">
      <c r="A162" t="s">
        <v>5</v>
      </c>
      <c r="B162" s="18">
        <v>4.83</v>
      </c>
      <c r="C162" s="59">
        <v>1.45</v>
      </c>
      <c r="D162" s="32">
        <f>C162/C163</f>
        <v>6.4732142857142863E-2</v>
      </c>
      <c r="E162" s="13"/>
      <c r="F162" s="8"/>
      <c r="G162" s="6"/>
      <c r="H162" s="6"/>
      <c r="I162" s="6"/>
    </row>
    <row r="163" spans="1:9" ht="15" thickBot="1" x14ac:dyDescent="0.45">
      <c r="A163" t="s">
        <v>4</v>
      </c>
      <c r="B163" s="20">
        <v>6.2119999999999997</v>
      </c>
      <c r="C163" s="16">
        <v>22.4</v>
      </c>
      <c r="D163" s="16"/>
      <c r="E163" s="24"/>
      <c r="F163" s="6"/>
      <c r="G163" s="6"/>
      <c r="H163" s="6"/>
      <c r="I163" s="6"/>
    </row>
    <row r="164" spans="1:9" s="1" customFormat="1" ht="15" thickBot="1" x14ac:dyDescent="0.45">
      <c r="A164" s="1" t="s">
        <v>150</v>
      </c>
      <c r="F164" s="64"/>
      <c r="G164" s="64"/>
      <c r="H164" s="64"/>
      <c r="I164" s="64"/>
    </row>
    <row r="165" spans="1:9" x14ac:dyDescent="0.4">
      <c r="A165" t="s">
        <v>0</v>
      </c>
      <c r="B165" s="66" t="s">
        <v>2</v>
      </c>
      <c r="C165" s="67" t="s">
        <v>1</v>
      </c>
      <c r="D165" s="67" t="s">
        <v>113</v>
      </c>
      <c r="E165" s="11" t="s">
        <v>69</v>
      </c>
      <c r="F165" s="6"/>
      <c r="G165" s="6"/>
      <c r="H165" s="6"/>
      <c r="I165" s="6"/>
    </row>
    <row r="166" spans="1:9" x14ac:dyDescent="0.4">
      <c r="A166" t="s">
        <v>3</v>
      </c>
      <c r="B166" s="18">
        <v>3.14</v>
      </c>
      <c r="C166" s="59">
        <v>1331.4</v>
      </c>
      <c r="D166" s="8">
        <f>C166/C168</f>
        <v>51.805447470817128</v>
      </c>
      <c r="E166" s="74">
        <f>(D167+0.0045)/0.0056</f>
        <v>16.506739855475264</v>
      </c>
      <c r="F166" s="6"/>
      <c r="G166" s="6"/>
      <c r="H166" s="6"/>
      <c r="I166" s="6"/>
    </row>
    <row r="167" spans="1:9" x14ac:dyDescent="0.4">
      <c r="A167" t="s">
        <v>5</v>
      </c>
      <c r="B167" s="18">
        <v>4.83</v>
      </c>
      <c r="C167" s="59">
        <v>2.2599999999999998</v>
      </c>
      <c r="D167" s="32">
        <f>C167/C168</f>
        <v>8.7937743190661471E-2</v>
      </c>
      <c r="E167" s="13"/>
      <c r="F167" s="6"/>
      <c r="G167" s="6"/>
      <c r="H167" s="6"/>
      <c r="I167" s="6"/>
    </row>
    <row r="168" spans="1:9" ht="15" thickBot="1" x14ac:dyDescent="0.45">
      <c r="A168" t="s">
        <v>4</v>
      </c>
      <c r="B168" s="20">
        <v>6.2119999999999997</v>
      </c>
      <c r="C168" s="16">
        <v>25.7</v>
      </c>
      <c r="D168" s="16"/>
      <c r="E168" s="24"/>
    </row>
    <row r="169" spans="1:9" s="4" customFormat="1" x14ac:dyDescent="0.4">
      <c r="A169" s="4" t="s">
        <v>49</v>
      </c>
    </row>
    <row r="170" spans="1:9" s="1" customFormat="1" ht="15" thickBot="1" x14ac:dyDescent="0.45">
      <c r="A170" s="1" t="s">
        <v>151</v>
      </c>
    </row>
    <row r="171" spans="1:9" s="65" customFormat="1" x14ac:dyDescent="0.4">
      <c r="A171" s="65" t="s">
        <v>0</v>
      </c>
      <c r="B171" s="66" t="s">
        <v>2</v>
      </c>
      <c r="C171" s="67" t="s">
        <v>1</v>
      </c>
      <c r="D171" s="67" t="s">
        <v>113</v>
      </c>
      <c r="E171" s="11" t="s">
        <v>69</v>
      </c>
      <c r="F171" s="71"/>
      <c r="G171" s="71"/>
      <c r="H171" s="59"/>
      <c r="I171" s="59"/>
    </row>
    <row r="172" spans="1:9" s="65" customFormat="1" x14ac:dyDescent="0.4">
      <c r="A172" s="65" t="s">
        <v>3</v>
      </c>
      <c r="B172" s="70">
        <v>3.1</v>
      </c>
      <c r="C172" s="71">
        <v>1678.4</v>
      </c>
      <c r="D172" s="72">
        <f>C172/C174</f>
        <v>51.643076923076926</v>
      </c>
      <c r="E172" s="74">
        <f>(D173+0.0045)/0.0056</f>
        <v>0.80357142857142849</v>
      </c>
      <c r="F172" s="73"/>
      <c r="G172" s="71"/>
      <c r="H172" s="71"/>
      <c r="I172" s="71"/>
    </row>
    <row r="173" spans="1:9" s="65" customFormat="1" x14ac:dyDescent="0.4">
      <c r="A173" s="65" t="s">
        <v>5</v>
      </c>
      <c r="B173" s="70">
        <v>4.83</v>
      </c>
      <c r="C173" s="71">
        <v>0</v>
      </c>
      <c r="D173" s="31">
        <f>C173/C174</f>
        <v>0</v>
      </c>
      <c r="E173" s="74"/>
      <c r="F173" s="72"/>
      <c r="G173" s="71"/>
      <c r="H173" s="71"/>
      <c r="I173" s="71"/>
    </row>
    <row r="174" spans="1:9" s="65" customFormat="1" ht="15" thickBot="1" x14ac:dyDescent="0.45">
      <c r="A174" s="65" t="s">
        <v>4</v>
      </c>
      <c r="B174" s="75">
        <v>6.2119999999999997</v>
      </c>
      <c r="C174" s="76">
        <v>32.5</v>
      </c>
      <c r="D174" s="76"/>
      <c r="E174" s="77"/>
      <c r="F174" s="71"/>
      <c r="G174" s="71"/>
      <c r="H174" s="71"/>
      <c r="I174" s="71"/>
    </row>
    <row r="175" spans="1:9" s="78" customFormat="1" ht="15" thickBot="1" x14ac:dyDescent="0.45">
      <c r="A175" s="1" t="s">
        <v>152</v>
      </c>
    </row>
    <row r="176" spans="1:9" s="65" customFormat="1" x14ac:dyDescent="0.4">
      <c r="A176" s="65" t="s">
        <v>0</v>
      </c>
      <c r="B176" s="66" t="s">
        <v>2</v>
      </c>
      <c r="C176" s="67" t="s">
        <v>1</v>
      </c>
      <c r="D176" s="67" t="s">
        <v>113</v>
      </c>
      <c r="E176" s="11" t="s">
        <v>69</v>
      </c>
    </row>
    <row r="177" spans="1:9" s="65" customFormat="1" x14ac:dyDescent="0.4">
      <c r="A177" s="65" t="s">
        <v>3</v>
      </c>
      <c r="B177" s="70">
        <v>3.14</v>
      </c>
      <c r="C177" s="59">
        <v>1640.3</v>
      </c>
      <c r="D177" s="72">
        <f>C177/C179</f>
        <v>51.581761006289305</v>
      </c>
      <c r="E177" s="74">
        <f>(D178+0.0045)/0.0056</f>
        <v>0.80357142857142849</v>
      </c>
    </row>
    <row r="178" spans="1:9" s="65" customFormat="1" x14ac:dyDescent="0.4">
      <c r="A178" s="65" t="s">
        <v>5</v>
      </c>
      <c r="B178" s="70">
        <v>4.83</v>
      </c>
      <c r="C178" s="59">
        <v>0</v>
      </c>
      <c r="D178" s="31">
        <f>C178/C179</f>
        <v>0</v>
      </c>
      <c r="E178" s="74"/>
    </row>
    <row r="179" spans="1:9" s="65" customFormat="1" ht="15" thickBot="1" x14ac:dyDescent="0.45">
      <c r="A179" s="65" t="s">
        <v>4</v>
      </c>
      <c r="B179" s="75">
        <v>6.2119999999999997</v>
      </c>
      <c r="C179" s="76">
        <v>31.8</v>
      </c>
      <c r="D179" s="76"/>
      <c r="E179" s="77"/>
    </row>
    <row r="180" spans="1:9" s="78" customFormat="1" ht="15" thickBot="1" x14ac:dyDescent="0.45">
      <c r="A180" s="1" t="s">
        <v>153</v>
      </c>
      <c r="F180" s="79"/>
    </row>
    <row r="181" spans="1:9" x14ac:dyDescent="0.4">
      <c r="A181" t="s">
        <v>0</v>
      </c>
      <c r="B181" s="66" t="s">
        <v>2</v>
      </c>
      <c r="C181" s="67" t="s">
        <v>1</v>
      </c>
      <c r="D181" s="67" t="s">
        <v>113</v>
      </c>
      <c r="E181" s="11" t="s">
        <v>69</v>
      </c>
      <c r="F181" s="6"/>
      <c r="G181" s="6"/>
      <c r="H181" s="21"/>
      <c r="I181" s="21"/>
    </row>
    <row r="182" spans="1:9" x14ac:dyDescent="0.4">
      <c r="A182" t="s">
        <v>3</v>
      </c>
      <c r="B182" s="18">
        <v>3.1</v>
      </c>
      <c r="C182" s="59">
        <v>1260.5999999999999</v>
      </c>
      <c r="D182" s="8">
        <f>C182/C184</f>
        <v>51.453061224489794</v>
      </c>
      <c r="E182" s="74">
        <f>(D183+0.0045)/0.0056</f>
        <v>0.80357142857142849</v>
      </c>
      <c r="F182" s="63"/>
      <c r="G182" s="6"/>
      <c r="H182" s="6"/>
      <c r="I182" s="6"/>
    </row>
    <row r="183" spans="1:9" x14ac:dyDescent="0.4">
      <c r="A183" t="s">
        <v>5</v>
      </c>
      <c r="B183" s="18">
        <v>4.83</v>
      </c>
      <c r="C183" s="59">
        <v>0</v>
      </c>
      <c r="D183" s="32">
        <f>C183/C184</f>
        <v>0</v>
      </c>
      <c r="E183" s="13"/>
      <c r="F183" s="8"/>
      <c r="G183" s="6"/>
      <c r="H183" s="6"/>
      <c r="I183" s="6"/>
    </row>
    <row r="184" spans="1:9" ht="15" thickBot="1" x14ac:dyDescent="0.45">
      <c r="A184" t="s">
        <v>4</v>
      </c>
      <c r="B184" s="20">
        <v>6.2119999999999997</v>
      </c>
      <c r="C184" s="16">
        <v>24.5</v>
      </c>
      <c r="D184" s="16"/>
      <c r="E184" s="24"/>
      <c r="F184" s="6"/>
      <c r="G184" s="6"/>
      <c r="H184" s="6"/>
      <c r="I184" s="6"/>
    </row>
    <row r="185" spans="1:9" s="1" customFormat="1" ht="15" thickBot="1" x14ac:dyDescent="0.45">
      <c r="A185" s="1" t="s">
        <v>154</v>
      </c>
      <c r="F185" s="64"/>
      <c r="G185" s="64"/>
      <c r="H185" s="64"/>
      <c r="I185" s="64"/>
    </row>
    <row r="186" spans="1:9" x14ac:dyDescent="0.4">
      <c r="A186" t="s">
        <v>0</v>
      </c>
      <c r="B186" s="66" t="s">
        <v>2</v>
      </c>
      <c r="C186" s="67" t="s">
        <v>1</v>
      </c>
      <c r="D186" s="67" t="s">
        <v>113</v>
      </c>
      <c r="E186" s="11" t="s">
        <v>69</v>
      </c>
      <c r="F186" s="6"/>
      <c r="G186" s="6"/>
      <c r="H186" s="6"/>
      <c r="I186" s="6"/>
    </row>
    <row r="187" spans="1:9" x14ac:dyDescent="0.4">
      <c r="A187" t="s">
        <v>3</v>
      </c>
      <c r="B187" s="18">
        <v>3.14</v>
      </c>
      <c r="C187" s="59">
        <v>1303.9000000000001</v>
      </c>
      <c r="D187" s="8">
        <f>C187/C189</f>
        <v>51.537549407114625</v>
      </c>
      <c r="E187" s="74">
        <f>(D188+0.0045)/0.0056</f>
        <v>0.80357142857142849</v>
      </c>
      <c r="F187" s="6"/>
      <c r="G187" s="6"/>
      <c r="H187" s="6"/>
      <c r="I187" s="6"/>
    </row>
    <row r="188" spans="1:9" x14ac:dyDescent="0.4">
      <c r="A188" t="s">
        <v>5</v>
      </c>
      <c r="B188" s="18">
        <v>4.83</v>
      </c>
      <c r="C188" s="59">
        <v>0</v>
      </c>
      <c r="D188" s="32">
        <f>C188/C189</f>
        <v>0</v>
      </c>
      <c r="E188" s="13"/>
      <c r="F188" s="6"/>
      <c r="G188" s="6"/>
      <c r="H188" s="6"/>
      <c r="I188" s="6"/>
    </row>
    <row r="189" spans="1:9" ht="15" thickBot="1" x14ac:dyDescent="0.45">
      <c r="A189" t="s">
        <v>4</v>
      </c>
      <c r="B189" s="20">
        <v>6.2119999999999997</v>
      </c>
      <c r="C189" s="16">
        <v>25.3</v>
      </c>
      <c r="D189" s="16"/>
      <c r="E189" s="24"/>
    </row>
    <row r="190" spans="1:9" s="4" customFormat="1" x14ac:dyDescent="0.4">
      <c r="A190" s="4" t="s">
        <v>49</v>
      </c>
    </row>
    <row r="191" spans="1:9" s="1" customFormat="1" ht="15" thickBot="1" x14ac:dyDescent="0.45">
      <c r="A191" s="1" t="s">
        <v>155</v>
      </c>
    </row>
    <row r="192" spans="1:9" s="65" customFormat="1" x14ac:dyDescent="0.4">
      <c r="A192" s="65" t="s">
        <v>0</v>
      </c>
      <c r="B192" s="66" t="s">
        <v>2</v>
      </c>
      <c r="C192" s="67" t="s">
        <v>1</v>
      </c>
      <c r="D192" s="67" t="s">
        <v>113</v>
      </c>
      <c r="E192" s="11" t="s">
        <v>69</v>
      </c>
      <c r="F192" s="71"/>
      <c r="G192" s="71"/>
      <c r="H192" s="59"/>
      <c r="I192" s="59"/>
    </row>
    <row r="193" spans="1:9" s="65" customFormat="1" x14ac:dyDescent="0.4">
      <c r="A193" s="65" t="s">
        <v>3</v>
      </c>
      <c r="B193" s="70">
        <v>3.1</v>
      </c>
      <c r="C193" s="71">
        <v>1711.6</v>
      </c>
      <c r="D193" s="72">
        <f>C193/C195</f>
        <v>51.092537313432835</v>
      </c>
      <c r="E193" s="74">
        <f>(D194+0.0045)/0.0056</f>
        <v>0.80357142857142849</v>
      </c>
      <c r="F193" s="73"/>
      <c r="G193" s="71"/>
      <c r="H193" s="71"/>
      <c r="I193" s="71"/>
    </row>
    <row r="194" spans="1:9" s="65" customFormat="1" x14ac:dyDescent="0.4">
      <c r="A194" s="65" t="s">
        <v>5</v>
      </c>
      <c r="B194" s="70">
        <v>4.83</v>
      </c>
      <c r="C194" s="71">
        <v>0</v>
      </c>
      <c r="D194" s="31">
        <f>C194/C195</f>
        <v>0</v>
      </c>
      <c r="E194" s="74"/>
      <c r="F194" s="72"/>
      <c r="G194" s="71"/>
      <c r="H194" s="71"/>
      <c r="I194" s="71"/>
    </row>
    <row r="195" spans="1:9" s="65" customFormat="1" ht="15" thickBot="1" x14ac:dyDescent="0.45">
      <c r="A195" s="65" t="s">
        <v>4</v>
      </c>
      <c r="B195" s="75">
        <v>6.2119999999999997</v>
      </c>
      <c r="C195" s="76">
        <v>33.5</v>
      </c>
      <c r="D195" s="76"/>
      <c r="E195" s="77"/>
      <c r="F195" s="71"/>
      <c r="G195" s="71"/>
      <c r="H195" s="71"/>
      <c r="I195" s="71"/>
    </row>
    <row r="196" spans="1:9" s="78" customFormat="1" ht="15" thickBot="1" x14ac:dyDescent="0.45">
      <c r="A196" s="1" t="s">
        <v>156</v>
      </c>
    </row>
    <row r="197" spans="1:9" s="65" customFormat="1" x14ac:dyDescent="0.4">
      <c r="A197" s="65" t="s">
        <v>0</v>
      </c>
      <c r="B197" s="66" t="s">
        <v>2</v>
      </c>
      <c r="C197" s="67" t="s">
        <v>1</v>
      </c>
      <c r="D197" s="67" t="s">
        <v>113</v>
      </c>
      <c r="E197" s="11" t="s">
        <v>69</v>
      </c>
    </row>
    <row r="198" spans="1:9" s="65" customFormat="1" x14ac:dyDescent="0.4">
      <c r="A198" s="65" t="s">
        <v>3</v>
      </c>
      <c r="B198" s="70">
        <v>3.14</v>
      </c>
      <c r="C198" s="59">
        <v>1769.7</v>
      </c>
      <c r="D198" s="72">
        <f>C198/C200</f>
        <v>51.897360703812318</v>
      </c>
      <c r="E198" s="74">
        <f>(D199+0.0045)/0.0056</f>
        <v>0.80357142857142849</v>
      </c>
    </row>
    <row r="199" spans="1:9" s="65" customFormat="1" x14ac:dyDescent="0.4">
      <c r="A199" s="65" t="s">
        <v>5</v>
      </c>
      <c r="B199" s="70">
        <v>4.83</v>
      </c>
      <c r="C199" s="59">
        <v>0</v>
      </c>
      <c r="D199" s="31">
        <f>C199/C200</f>
        <v>0</v>
      </c>
      <c r="E199" s="74"/>
    </row>
    <row r="200" spans="1:9" s="65" customFormat="1" ht="15" thickBot="1" x14ac:dyDescent="0.45">
      <c r="A200" s="65" t="s">
        <v>4</v>
      </c>
      <c r="B200" s="75">
        <v>6.2119999999999997</v>
      </c>
      <c r="C200" s="76">
        <v>34.1</v>
      </c>
      <c r="D200" s="76"/>
      <c r="E200" s="77"/>
    </row>
    <row r="201" spans="1:9" s="78" customFormat="1" ht="15" thickBot="1" x14ac:dyDescent="0.45">
      <c r="A201" s="1" t="s">
        <v>157</v>
      </c>
      <c r="F201" s="79"/>
    </row>
    <row r="202" spans="1:9" x14ac:dyDescent="0.4">
      <c r="A202" t="s">
        <v>0</v>
      </c>
      <c r="B202" s="66" t="s">
        <v>2</v>
      </c>
      <c r="C202" s="67" t="s">
        <v>1</v>
      </c>
      <c r="D202" s="67" t="s">
        <v>113</v>
      </c>
      <c r="E202" s="11" t="s">
        <v>69</v>
      </c>
      <c r="F202" s="6"/>
      <c r="G202" s="6"/>
      <c r="H202" s="21"/>
      <c r="I202" s="21"/>
    </row>
    <row r="203" spans="1:9" x14ac:dyDescent="0.4">
      <c r="A203" t="s">
        <v>3</v>
      </c>
      <c r="B203" s="18">
        <v>3.1</v>
      </c>
      <c r="C203" s="59">
        <v>1241.4000000000001</v>
      </c>
      <c r="D203" s="8">
        <f>C203/C205</f>
        <v>49.855421686746993</v>
      </c>
      <c r="E203" s="74">
        <f>(D204+0.0045)/0.0056</f>
        <v>0.80357142857142849</v>
      </c>
      <c r="F203" s="63"/>
      <c r="G203" s="6"/>
      <c r="H203" s="6"/>
      <c r="I203" s="6"/>
    </row>
    <row r="204" spans="1:9" x14ac:dyDescent="0.4">
      <c r="A204" t="s">
        <v>5</v>
      </c>
      <c r="B204" s="18">
        <v>4.83</v>
      </c>
      <c r="C204" s="59">
        <v>0</v>
      </c>
      <c r="D204" s="32">
        <f>C204/C205</f>
        <v>0</v>
      </c>
      <c r="E204" s="13"/>
      <c r="F204" s="8"/>
      <c r="G204" s="6"/>
      <c r="H204" s="6"/>
      <c r="I204" s="6"/>
    </row>
    <row r="205" spans="1:9" ht="15" thickBot="1" x14ac:dyDescent="0.45">
      <c r="A205" t="s">
        <v>4</v>
      </c>
      <c r="B205" s="20">
        <v>6.2119999999999997</v>
      </c>
      <c r="C205" s="16">
        <v>24.9</v>
      </c>
      <c r="D205" s="16"/>
      <c r="E205" s="24"/>
      <c r="F205" s="6"/>
      <c r="G205" s="6"/>
      <c r="H205" s="6"/>
      <c r="I205" s="6"/>
    </row>
    <row r="206" spans="1:9" s="1" customFormat="1" ht="15" thickBot="1" x14ac:dyDescent="0.45">
      <c r="A206" s="1" t="s">
        <v>158</v>
      </c>
      <c r="F206" s="64"/>
      <c r="G206" s="64"/>
      <c r="H206" s="64"/>
      <c r="I206" s="64"/>
    </row>
    <row r="207" spans="1:9" x14ac:dyDescent="0.4">
      <c r="A207" t="s">
        <v>0</v>
      </c>
      <c r="B207" s="66" t="s">
        <v>2</v>
      </c>
      <c r="C207" s="67" t="s">
        <v>1</v>
      </c>
      <c r="D207" s="67" t="s">
        <v>113</v>
      </c>
      <c r="E207" s="11" t="s">
        <v>69</v>
      </c>
      <c r="F207" s="6"/>
      <c r="G207" s="6"/>
      <c r="H207" s="6"/>
      <c r="I207" s="6"/>
    </row>
    <row r="208" spans="1:9" x14ac:dyDescent="0.4">
      <c r="A208" t="s">
        <v>3</v>
      </c>
      <c r="B208" s="18">
        <v>3.14</v>
      </c>
      <c r="C208" s="59">
        <v>1248.2</v>
      </c>
      <c r="D208" s="8">
        <f>C208/C210</f>
        <v>52.445378151260506</v>
      </c>
      <c r="E208" s="74">
        <f>(D209+0.0045)/0.0056</f>
        <v>0.80357142857142849</v>
      </c>
      <c r="F208" s="6"/>
      <c r="G208" s="6"/>
      <c r="H208" s="6"/>
      <c r="I208" s="6"/>
    </row>
    <row r="209" spans="1:9" x14ac:dyDescent="0.4">
      <c r="A209" t="s">
        <v>5</v>
      </c>
      <c r="B209" s="18">
        <v>4.83</v>
      </c>
      <c r="C209" s="59">
        <v>0</v>
      </c>
      <c r="D209" s="32">
        <f>C209/C210</f>
        <v>0</v>
      </c>
      <c r="E209" s="13"/>
      <c r="F209" s="6"/>
      <c r="G209" s="6"/>
      <c r="H209" s="6"/>
      <c r="I209" s="6"/>
    </row>
    <row r="210" spans="1:9" ht="15" thickBot="1" x14ac:dyDescent="0.45">
      <c r="A210" t="s">
        <v>4</v>
      </c>
      <c r="B210" s="20">
        <v>6.2119999999999997</v>
      </c>
      <c r="C210" s="16">
        <v>23.8</v>
      </c>
      <c r="D210" s="16"/>
      <c r="E210" s="24"/>
    </row>
    <row r="211" spans="1:9" s="4" customFormat="1" x14ac:dyDescent="0.4">
      <c r="A211" s="4" t="s">
        <v>49</v>
      </c>
    </row>
    <row r="212" spans="1:9" s="1" customFormat="1" ht="15" thickBot="1" x14ac:dyDescent="0.45">
      <c r="A212" s="1" t="s">
        <v>159</v>
      </c>
    </row>
    <row r="213" spans="1:9" s="65" customFormat="1" x14ac:dyDescent="0.4">
      <c r="A213" s="65" t="s">
        <v>0</v>
      </c>
      <c r="B213" s="66" t="s">
        <v>2</v>
      </c>
      <c r="C213" s="67" t="s">
        <v>1</v>
      </c>
      <c r="D213" s="67" t="s">
        <v>113</v>
      </c>
      <c r="E213" s="11" t="s">
        <v>69</v>
      </c>
      <c r="F213" s="71"/>
      <c r="G213" s="71"/>
      <c r="H213" s="59"/>
      <c r="I213" s="59"/>
    </row>
    <row r="214" spans="1:9" s="65" customFormat="1" x14ac:dyDescent="0.4">
      <c r="A214" s="65" t="s">
        <v>3</v>
      </c>
      <c r="B214" s="70">
        <v>3.1</v>
      </c>
      <c r="C214" s="71">
        <v>1682.7</v>
      </c>
      <c r="D214" s="72">
        <f>C214/C216</f>
        <v>51.301829268292686</v>
      </c>
      <c r="E214" s="74">
        <f>(D215+0.0045)/0.0056</f>
        <v>2.594729965156795</v>
      </c>
      <c r="F214" s="73"/>
      <c r="G214" s="71"/>
      <c r="H214" s="71"/>
      <c r="I214" s="71"/>
    </row>
    <row r="215" spans="1:9" s="65" customFormat="1" x14ac:dyDescent="0.4">
      <c r="A215" s="65" t="s">
        <v>5</v>
      </c>
      <c r="B215" s="70">
        <v>4.83</v>
      </c>
      <c r="C215" s="71">
        <v>0.32900000000000001</v>
      </c>
      <c r="D215" s="31">
        <f>C215/C216</f>
        <v>1.0030487804878051E-2</v>
      </c>
      <c r="E215" s="74"/>
      <c r="F215" s="72"/>
      <c r="G215" s="71"/>
      <c r="H215" s="71"/>
      <c r="I215" s="71"/>
    </row>
    <row r="216" spans="1:9" s="65" customFormat="1" ht="15" thickBot="1" x14ac:dyDescent="0.45">
      <c r="A216" s="65" t="s">
        <v>4</v>
      </c>
      <c r="B216" s="75">
        <v>6.2119999999999997</v>
      </c>
      <c r="C216" s="76">
        <v>32.799999999999997</v>
      </c>
      <c r="D216" s="76"/>
      <c r="E216" s="77"/>
      <c r="F216" s="71"/>
      <c r="G216" s="71"/>
      <c r="H216" s="71"/>
      <c r="I216" s="71"/>
    </row>
    <row r="217" spans="1:9" s="78" customFormat="1" ht="15" thickBot="1" x14ac:dyDescent="0.45">
      <c r="A217" s="1" t="s">
        <v>160</v>
      </c>
    </row>
    <row r="218" spans="1:9" s="65" customFormat="1" x14ac:dyDescent="0.4">
      <c r="A218" s="65" t="s">
        <v>0</v>
      </c>
      <c r="B218" s="66" t="s">
        <v>2</v>
      </c>
      <c r="C218" s="67" t="s">
        <v>1</v>
      </c>
      <c r="D218" s="67" t="s">
        <v>113</v>
      </c>
      <c r="E218" s="11" t="s">
        <v>69</v>
      </c>
    </row>
    <row r="219" spans="1:9" s="65" customFormat="1" x14ac:dyDescent="0.4">
      <c r="A219" s="65" t="s">
        <v>3</v>
      </c>
      <c r="B219" s="70">
        <v>3.14</v>
      </c>
      <c r="C219" s="59">
        <v>1662.5</v>
      </c>
      <c r="D219" s="72">
        <f>C219/C221</f>
        <v>51.791277258566979</v>
      </c>
      <c r="E219" s="74">
        <f>(D220+0.0045)/0.0056</f>
        <v>4.1747329773030701</v>
      </c>
    </row>
    <row r="220" spans="1:9" s="65" customFormat="1" x14ac:dyDescent="0.4">
      <c r="A220" s="65" t="s">
        <v>5</v>
      </c>
      <c r="B220" s="70">
        <v>4.83</v>
      </c>
      <c r="C220" s="59">
        <v>0.60599999999999998</v>
      </c>
      <c r="D220" s="31">
        <f>C220/C221</f>
        <v>1.8878504672897194E-2</v>
      </c>
      <c r="E220" s="74"/>
    </row>
    <row r="221" spans="1:9" s="65" customFormat="1" ht="15" thickBot="1" x14ac:dyDescent="0.45">
      <c r="A221" s="65" t="s">
        <v>4</v>
      </c>
      <c r="B221" s="75">
        <v>6.2119999999999997</v>
      </c>
      <c r="C221" s="76">
        <v>32.1</v>
      </c>
      <c r="D221" s="76"/>
      <c r="E221" s="77"/>
    </row>
    <row r="222" spans="1:9" s="78" customFormat="1" ht="15" thickBot="1" x14ac:dyDescent="0.45">
      <c r="A222" s="1" t="s">
        <v>161</v>
      </c>
      <c r="F222" s="79"/>
    </row>
    <row r="223" spans="1:9" x14ac:dyDescent="0.4">
      <c r="A223" t="s">
        <v>0</v>
      </c>
      <c r="B223" s="66" t="s">
        <v>2</v>
      </c>
      <c r="C223" s="67" t="s">
        <v>1</v>
      </c>
      <c r="D223" s="67" t="s">
        <v>113</v>
      </c>
      <c r="E223" s="11" t="s">
        <v>69</v>
      </c>
      <c r="F223" s="6"/>
      <c r="G223" s="6"/>
      <c r="H223" s="21"/>
      <c r="I223" s="21"/>
    </row>
    <row r="224" spans="1:9" x14ac:dyDescent="0.4">
      <c r="A224" t="s">
        <v>3</v>
      </c>
      <c r="B224" s="18">
        <v>3.1</v>
      </c>
      <c r="C224" s="59">
        <v>1238.7</v>
      </c>
      <c r="D224" s="8">
        <f>C224/C226</f>
        <v>51.612500000000004</v>
      </c>
      <c r="E224" s="74">
        <f>(D225+0.0045)/0.0056</f>
        <v>6.3318452380952381</v>
      </c>
      <c r="F224" s="63"/>
      <c r="G224" s="6"/>
      <c r="H224" s="6"/>
      <c r="I224" s="6"/>
    </row>
    <row r="225" spans="1:9" x14ac:dyDescent="0.4">
      <c r="A225" t="s">
        <v>5</v>
      </c>
      <c r="B225" s="18">
        <v>4.83</v>
      </c>
      <c r="C225" s="59">
        <v>0.74299999999999999</v>
      </c>
      <c r="D225" s="32">
        <f>C225/C226</f>
        <v>3.0958333333333334E-2</v>
      </c>
      <c r="E225" s="13"/>
      <c r="F225" s="8"/>
      <c r="G225" s="6"/>
      <c r="H225" s="6"/>
      <c r="I225" s="6"/>
    </row>
    <row r="226" spans="1:9" ht="15" thickBot="1" x14ac:dyDescent="0.45">
      <c r="A226" t="s">
        <v>4</v>
      </c>
      <c r="B226" s="20">
        <v>6.2119999999999997</v>
      </c>
      <c r="C226" s="16">
        <v>24</v>
      </c>
      <c r="D226" s="16"/>
      <c r="E226" s="24"/>
      <c r="F226" s="6"/>
      <c r="G226" s="6"/>
      <c r="H226" s="6"/>
      <c r="I226" s="6"/>
    </row>
    <row r="227" spans="1:9" s="1" customFormat="1" ht="15" thickBot="1" x14ac:dyDescent="0.45">
      <c r="A227" s="1" t="s">
        <v>162</v>
      </c>
      <c r="F227" s="64"/>
      <c r="G227" s="64"/>
      <c r="H227" s="64"/>
      <c r="I227" s="64"/>
    </row>
    <row r="228" spans="1:9" x14ac:dyDescent="0.4">
      <c r="A228" t="s">
        <v>0</v>
      </c>
      <c r="B228" s="66" t="s">
        <v>2</v>
      </c>
      <c r="C228" s="67" t="s">
        <v>1</v>
      </c>
      <c r="D228" s="67" t="s">
        <v>113</v>
      </c>
      <c r="E228" s="11" t="s">
        <v>69</v>
      </c>
      <c r="F228" s="6"/>
      <c r="G228" s="6"/>
      <c r="H228" s="6"/>
      <c r="I228" s="6"/>
    </row>
    <row r="229" spans="1:9" x14ac:dyDescent="0.4">
      <c r="A229" t="s">
        <v>3</v>
      </c>
      <c r="B229" s="18">
        <v>3.14</v>
      </c>
      <c r="C229" s="59">
        <v>1194.2</v>
      </c>
      <c r="D229" s="8">
        <f>C229/C231</f>
        <v>52.377192982456144</v>
      </c>
      <c r="E229" s="74">
        <f>(D230+0.0045)/0.0056</f>
        <v>8.212719298245613</v>
      </c>
      <c r="F229" s="6"/>
      <c r="G229" s="6"/>
      <c r="H229" s="6"/>
      <c r="I229" s="6"/>
    </row>
    <row r="230" spans="1:9" x14ac:dyDescent="0.4">
      <c r="A230" t="s">
        <v>5</v>
      </c>
      <c r="B230" s="18">
        <v>4.83</v>
      </c>
      <c r="C230" s="59">
        <v>0.94599999999999995</v>
      </c>
      <c r="D230" s="32">
        <f>C230/C231</f>
        <v>4.1491228070175433E-2</v>
      </c>
      <c r="E230" s="13"/>
      <c r="F230" s="6"/>
      <c r="G230" s="6"/>
      <c r="H230" s="6"/>
      <c r="I230" s="6"/>
    </row>
    <row r="231" spans="1:9" ht="15" thickBot="1" x14ac:dyDescent="0.45">
      <c r="A231" t="s">
        <v>4</v>
      </c>
      <c r="B231" s="20">
        <v>6.2119999999999997</v>
      </c>
      <c r="C231" s="16">
        <v>22.8</v>
      </c>
      <c r="D231" s="16"/>
      <c r="E231" s="24"/>
    </row>
    <row r="232" spans="1:9" s="4" customFormat="1" x14ac:dyDescent="0.4">
      <c r="A232" s="4" t="s">
        <v>49</v>
      </c>
    </row>
    <row r="233" spans="1:9" s="1" customFormat="1" ht="15" thickBot="1" x14ac:dyDescent="0.45">
      <c r="A233" s="1" t="s">
        <v>163</v>
      </c>
    </row>
    <row r="234" spans="1:9" s="65" customFormat="1" x14ac:dyDescent="0.4">
      <c r="A234" s="65" t="s">
        <v>0</v>
      </c>
      <c r="B234" s="66" t="s">
        <v>2</v>
      </c>
      <c r="C234" s="67" t="s">
        <v>1</v>
      </c>
      <c r="D234" s="67" t="s">
        <v>113</v>
      </c>
      <c r="E234" s="11" t="s">
        <v>69</v>
      </c>
      <c r="F234" s="71"/>
      <c r="G234" s="71"/>
      <c r="H234" s="59"/>
      <c r="I234" s="59"/>
    </row>
    <row r="235" spans="1:9" s="65" customFormat="1" x14ac:dyDescent="0.4">
      <c r="A235" s="65" t="s">
        <v>3</v>
      </c>
      <c r="B235" s="70">
        <v>3.1</v>
      </c>
      <c r="C235" s="71">
        <v>1711</v>
      </c>
      <c r="D235" s="72">
        <f>C235/C237</f>
        <v>51.848484848484851</v>
      </c>
      <c r="E235" s="74">
        <f>(D236+0.0045)/0.0056</f>
        <v>2.545995670995671</v>
      </c>
      <c r="F235" s="73"/>
      <c r="G235" s="71"/>
      <c r="H235" s="71"/>
      <c r="I235" s="71"/>
    </row>
    <row r="236" spans="1:9" s="65" customFormat="1" x14ac:dyDescent="0.4">
      <c r="A236" s="65" t="s">
        <v>5</v>
      </c>
      <c r="B236" s="70">
        <v>4.83</v>
      </c>
      <c r="C236" s="71">
        <v>0.32200000000000001</v>
      </c>
      <c r="D236" s="31">
        <f>C236/C237</f>
        <v>9.7575757575757583E-3</v>
      </c>
      <c r="E236" s="74"/>
      <c r="F236" s="72"/>
      <c r="G236" s="71"/>
      <c r="H236" s="71"/>
      <c r="I236" s="71"/>
    </row>
    <row r="237" spans="1:9" s="65" customFormat="1" ht="15" thickBot="1" x14ac:dyDescent="0.45">
      <c r="A237" s="65" t="s">
        <v>4</v>
      </c>
      <c r="B237" s="75">
        <v>6.2119999999999997</v>
      </c>
      <c r="C237" s="76">
        <v>33</v>
      </c>
      <c r="D237" s="76"/>
      <c r="E237" s="77"/>
      <c r="F237" s="71"/>
      <c r="G237" s="71"/>
      <c r="H237" s="71"/>
      <c r="I237" s="71"/>
    </row>
    <row r="238" spans="1:9" s="78" customFormat="1" ht="15" thickBot="1" x14ac:dyDescent="0.45">
      <c r="A238" s="1" t="s">
        <v>164</v>
      </c>
    </row>
    <row r="239" spans="1:9" s="65" customFormat="1" x14ac:dyDescent="0.4">
      <c r="A239" s="65" t="s">
        <v>0</v>
      </c>
      <c r="B239" s="66" t="s">
        <v>2</v>
      </c>
      <c r="C239" s="67" t="s">
        <v>1</v>
      </c>
      <c r="D239" s="67" t="s">
        <v>113</v>
      </c>
      <c r="E239" s="11" t="s">
        <v>69</v>
      </c>
    </row>
    <row r="240" spans="1:9" s="65" customFormat="1" x14ac:dyDescent="0.4">
      <c r="A240" s="65" t="s">
        <v>3</v>
      </c>
      <c r="B240" s="70">
        <v>3.14</v>
      </c>
      <c r="C240" s="59">
        <v>1646.2</v>
      </c>
      <c r="D240" s="72">
        <f>C240/C242</f>
        <v>52.260317460317459</v>
      </c>
      <c r="E240" s="74">
        <f>(D241+0.0045)/0.0056</f>
        <v>4.3466553287981862</v>
      </c>
    </row>
    <row r="241" spans="1:9" s="65" customFormat="1" x14ac:dyDescent="0.4">
      <c r="A241" s="65" t="s">
        <v>5</v>
      </c>
      <c r="B241" s="70">
        <v>4.83</v>
      </c>
      <c r="C241" s="59">
        <v>0.625</v>
      </c>
      <c r="D241" s="31">
        <f>C241/C242</f>
        <v>1.984126984126984E-2</v>
      </c>
      <c r="E241" s="74"/>
    </row>
    <row r="242" spans="1:9" s="65" customFormat="1" ht="15" thickBot="1" x14ac:dyDescent="0.45">
      <c r="A242" s="65" t="s">
        <v>4</v>
      </c>
      <c r="B242" s="75">
        <v>6.2119999999999997</v>
      </c>
      <c r="C242" s="76">
        <v>31.5</v>
      </c>
      <c r="D242" s="76"/>
      <c r="E242" s="77"/>
    </row>
    <row r="243" spans="1:9" s="78" customFormat="1" ht="15" thickBot="1" x14ac:dyDescent="0.45">
      <c r="A243" s="1" t="s">
        <v>165</v>
      </c>
      <c r="F243" s="79"/>
    </row>
    <row r="244" spans="1:9" x14ac:dyDescent="0.4">
      <c r="A244" t="s">
        <v>0</v>
      </c>
      <c r="B244" s="66" t="s">
        <v>2</v>
      </c>
      <c r="C244" s="67" t="s">
        <v>1</v>
      </c>
      <c r="D244" s="67" t="s">
        <v>113</v>
      </c>
      <c r="E244" s="11" t="s">
        <v>69</v>
      </c>
      <c r="F244" s="6"/>
      <c r="G244" s="6"/>
      <c r="H244" s="21"/>
      <c r="I244" s="21"/>
    </row>
    <row r="245" spans="1:9" x14ac:dyDescent="0.4">
      <c r="A245" t="s">
        <v>3</v>
      </c>
      <c r="B245" s="18">
        <v>3.1</v>
      </c>
      <c r="C245" s="59">
        <v>1213.5999999999999</v>
      </c>
      <c r="D245" s="8">
        <f>C245/C247</f>
        <v>51.423728813559315</v>
      </c>
      <c r="E245" s="74">
        <f>(D246+0.0045)/0.0056</f>
        <v>6.5163438256658583</v>
      </c>
      <c r="F245" s="63"/>
      <c r="G245" s="6"/>
      <c r="H245" s="6"/>
      <c r="I245" s="6"/>
    </row>
    <row r="246" spans="1:9" x14ac:dyDescent="0.4">
      <c r="A246" t="s">
        <v>5</v>
      </c>
      <c r="B246" s="18">
        <v>4.83</v>
      </c>
      <c r="C246" s="59">
        <v>0.755</v>
      </c>
      <c r="D246" s="32">
        <f>C246/C247</f>
        <v>3.1991525423728809E-2</v>
      </c>
      <c r="E246" s="13"/>
      <c r="F246" s="8"/>
      <c r="G246" s="6"/>
      <c r="H246" s="6"/>
      <c r="I246" s="6"/>
    </row>
    <row r="247" spans="1:9" ht="15" thickBot="1" x14ac:dyDescent="0.45">
      <c r="A247" t="s">
        <v>4</v>
      </c>
      <c r="B247" s="20">
        <v>6.2119999999999997</v>
      </c>
      <c r="C247" s="16">
        <v>23.6</v>
      </c>
      <c r="D247" s="16"/>
      <c r="E247" s="24"/>
      <c r="F247" s="6"/>
      <c r="G247" s="6"/>
      <c r="H247" s="6"/>
      <c r="I247" s="6"/>
    </row>
    <row r="248" spans="1:9" s="1" customFormat="1" ht="15" thickBot="1" x14ac:dyDescent="0.45">
      <c r="A248" s="1" t="s">
        <v>166</v>
      </c>
      <c r="F248" s="64"/>
      <c r="G248" s="64"/>
      <c r="H248" s="64"/>
      <c r="I248" s="64"/>
    </row>
    <row r="249" spans="1:9" x14ac:dyDescent="0.4">
      <c r="A249" t="s">
        <v>0</v>
      </c>
      <c r="B249" s="66" t="s">
        <v>2</v>
      </c>
      <c r="C249" s="67" t="s">
        <v>1</v>
      </c>
      <c r="D249" s="67" t="s">
        <v>113</v>
      </c>
      <c r="E249" s="11" t="s">
        <v>69</v>
      </c>
      <c r="F249" s="6"/>
      <c r="G249" s="6"/>
      <c r="H249" s="6"/>
      <c r="I249" s="6"/>
    </row>
    <row r="250" spans="1:9" x14ac:dyDescent="0.4">
      <c r="A250" t="s">
        <v>3</v>
      </c>
      <c r="B250" s="18">
        <v>3.14</v>
      </c>
      <c r="C250" s="59">
        <v>1199.4000000000001</v>
      </c>
      <c r="D250" s="8">
        <f>C250/C252</f>
        <v>53.306666666666672</v>
      </c>
      <c r="E250" s="74">
        <f>(D251+0.0045)/0.0056</f>
        <v>8.4781746031746028</v>
      </c>
      <c r="F250" s="6"/>
      <c r="G250" s="6"/>
      <c r="H250" s="6"/>
      <c r="I250" s="6"/>
    </row>
    <row r="251" spans="1:9" x14ac:dyDescent="0.4">
      <c r="A251" t="s">
        <v>5</v>
      </c>
      <c r="B251" s="18">
        <v>4.83</v>
      </c>
      <c r="C251" s="59">
        <v>0.96699999999999997</v>
      </c>
      <c r="D251" s="32">
        <f>C251/C252</f>
        <v>4.2977777777777774E-2</v>
      </c>
      <c r="E251" s="13"/>
      <c r="F251" s="6"/>
      <c r="G251" s="6"/>
      <c r="H251" s="6"/>
      <c r="I251" s="6"/>
    </row>
    <row r="252" spans="1:9" ht="15" thickBot="1" x14ac:dyDescent="0.45">
      <c r="A252" t="s">
        <v>4</v>
      </c>
      <c r="B252" s="20">
        <v>6.2119999999999997</v>
      </c>
      <c r="C252" s="16">
        <v>22.5</v>
      </c>
      <c r="D252" s="16"/>
      <c r="E252" s="24"/>
    </row>
    <row r="253" spans="1:9" s="4" customFormat="1" x14ac:dyDescent="0.4">
      <c r="A253" s="4" t="s">
        <v>49</v>
      </c>
    </row>
    <row r="254" spans="1:9" s="1" customFormat="1" ht="15" thickBot="1" x14ac:dyDescent="0.45">
      <c r="A254" s="1" t="s">
        <v>167</v>
      </c>
    </row>
    <row r="255" spans="1:9" s="65" customFormat="1" x14ac:dyDescent="0.4">
      <c r="A255" s="65" t="s">
        <v>0</v>
      </c>
      <c r="B255" s="66" t="s">
        <v>2</v>
      </c>
      <c r="C255" s="67" t="s">
        <v>1</v>
      </c>
      <c r="D255" s="67" t="s">
        <v>113</v>
      </c>
      <c r="E255" s="11" t="s">
        <v>69</v>
      </c>
      <c r="F255" s="71"/>
      <c r="G255" s="71"/>
      <c r="H255" s="59"/>
      <c r="I255" s="59"/>
    </row>
    <row r="256" spans="1:9" s="65" customFormat="1" x14ac:dyDescent="0.4">
      <c r="A256" s="65" t="s">
        <v>3</v>
      </c>
      <c r="B256" s="70">
        <v>3.1</v>
      </c>
      <c r="C256" s="71">
        <v>1627.8</v>
      </c>
      <c r="D256" s="72">
        <f>C256/C258</f>
        <v>52.17307692307692</v>
      </c>
      <c r="E256" s="74">
        <f>(D257+0.0045)/0.0056</f>
        <v>4.375</v>
      </c>
      <c r="F256" s="73"/>
      <c r="G256" s="71"/>
      <c r="H256" s="71"/>
      <c r="I256" s="71"/>
    </row>
    <row r="257" spans="1:9" s="65" customFormat="1" x14ac:dyDescent="0.4">
      <c r="A257" s="65" t="s">
        <v>5</v>
      </c>
      <c r="B257" s="70">
        <v>4.83</v>
      </c>
      <c r="C257" s="71">
        <v>0.624</v>
      </c>
      <c r="D257" s="31">
        <f>C257/C258</f>
        <v>0.02</v>
      </c>
      <c r="E257" s="74"/>
      <c r="F257" s="72"/>
      <c r="G257" s="71"/>
      <c r="H257" s="71"/>
      <c r="I257" s="71"/>
    </row>
    <row r="258" spans="1:9" s="65" customFormat="1" ht="15" thickBot="1" x14ac:dyDescent="0.45">
      <c r="A258" s="65" t="s">
        <v>4</v>
      </c>
      <c r="B258" s="75">
        <v>6.2119999999999997</v>
      </c>
      <c r="C258" s="76">
        <v>31.2</v>
      </c>
      <c r="D258" s="76"/>
      <c r="E258" s="77"/>
      <c r="F258" s="71"/>
      <c r="G258" s="71"/>
      <c r="H258" s="71"/>
      <c r="I258" s="71"/>
    </row>
    <row r="259" spans="1:9" s="78" customFormat="1" ht="15" thickBot="1" x14ac:dyDescent="0.45">
      <c r="A259" s="1" t="s">
        <v>168</v>
      </c>
    </row>
    <row r="260" spans="1:9" s="65" customFormat="1" x14ac:dyDescent="0.4">
      <c r="A260" s="65" t="s">
        <v>0</v>
      </c>
      <c r="B260" s="66" t="s">
        <v>2</v>
      </c>
      <c r="C260" s="67" t="s">
        <v>1</v>
      </c>
      <c r="D260" s="67" t="s">
        <v>113</v>
      </c>
      <c r="E260" s="11" t="s">
        <v>69</v>
      </c>
    </row>
    <row r="261" spans="1:9" s="65" customFormat="1" x14ac:dyDescent="0.4">
      <c r="A261" s="65" t="s">
        <v>3</v>
      </c>
      <c r="B261" s="70">
        <v>3.14</v>
      </c>
      <c r="C261" s="59">
        <v>1764.8</v>
      </c>
      <c r="D261" s="72">
        <f>C261/C263</f>
        <v>52.367952522255187</v>
      </c>
      <c r="E261" s="74">
        <f>(D262+0.0045)/0.0056</f>
        <v>8.1159919457397187</v>
      </c>
    </row>
    <row r="262" spans="1:9" s="65" customFormat="1" x14ac:dyDescent="0.4">
      <c r="A262" s="65" t="s">
        <v>5</v>
      </c>
      <c r="B262" s="70">
        <v>4.83</v>
      </c>
      <c r="C262" s="59">
        <v>1.38</v>
      </c>
      <c r="D262" s="31">
        <f>C262/C263</f>
        <v>4.0949554896142423E-2</v>
      </c>
      <c r="E262" s="74"/>
    </row>
    <row r="263" spans="1:9" s="65" customFormat="1" ht="15" thickBot="1" x14ac:dyDescent="0.45">
      <c r="A263" s="65" t="s">
        <v>4</v>
      </c>
      <c r="B263" s="75">
        <v>6.2119999999999997</v>
      </c>
      <c r="C263" s="76">
        <v>33.700000000000003</v>
      </c>
      <c r="D263" s="76"/>
      <c r="E263" s="77"/>
    </row>
    <row r="264" spans="1:9" s="78" customFormat="1" ht="15" thickBot="1" x14ac:dyDescent="0.45">
      <c r="A264" s="1" t="s">
        <v>169</v>
      </c>
      <c r="F264" s="79"/>
    </row>
    <row r="265" spans="1:9" x14ac:dyDescent="0.4">
      <c r="A265" t="s">
        <v>0</v>
      </c>
      <c r="B265" s="66" t="s">
        <v>2</v>
      </c>
      <c r="C265" s="67" t="s">
        <v>1</v>
      </c>
      <c r="D265" s="67" t="s">
        <v>113</v>
      </c>
      <c r="E265" s="11" t="s">
        <v>69</v>
      </c>
      <c r="F265" s="6"/>
      <c r="G265" s="6"/>
      <c r="H265" s="21"/>
      <c r="I265" s="21"/>
    </row>
    <row r="266" spans="1:9" x14ac:dyDescent="0.4">
      <c r="A266" t="s">
        <v>3</v>
      </c>
      <c r="B266" s="18">
        <v>3.1</v>
      </c>
      <c r="C266" s="59">
        <v>1246.5</v>
      </c>
      <c r="D266" s="8">
        <f>C266/C268</f>
        <v>52.154811715481173</v>
      </c>
      <c r="E266" s="74">
        <f>(D267+0.0045)/0.0056</f>
        <v>12.608711894799763</v>
      </c>
      <c r="F266" s="63"/>
      <c r="G266" s="6"/>
      <c r="H266" s="6"/>
      <c r="I266" s="6"/>
    </row>
    <row r="267" spans="1:9" x14ac:dyDescent="0.4">
      <c r="A267" t="s">
        <v>5</v>
      </c>
      <c r="B267" s="18">
        <v>4.83</v>
      </c>
      <c r="C267" s="59">
        <v>1.58</v>
      </c>
      <c r="D267" s="32">
        <f>C267/C268</f>
        <v>6.610878661087867E-2</v>
      </c>
      <c r="E267" s="13"/>
      <c r="F267" s="8"/>
      <c r="G267" s="6"/>
      <c r="H267" s="6"/>
      <c r="I267" s="6"/>
    </row>
    <row r="268" spans="1:9" ht="15" thickBot="1" x14ac:dyDescent="0.45">
      <c r="A268" t="s">
        <v>4</v>
      </c>
      <c r="B268" s="20">
        <v>6.2119999999999997</v>
      </c>
      <c r="C268" s="16">
        <v>23.9</v>
      </c>
      <c r="D268" s="16"/>
      <c r="E268" s="24"/>
      <c r="F268" s="6"/>
      <c r="G268" s="6"/>
      <c r="H268" s="6"/>
      <c r="I268" s="6"/>
    </row>
    <row r="269" spans="1:9" s="1" customFormat="1" ht="15" thickBot="1" x14ac:dyDescent="0.45">
      <c r="A269" s="1" t="s">
        <v>170</v>
      </c>
      <c r="F269" s="64"/>
      <c r="G269" s="64"/>
      <c r="H269" s="64"/>
      <c r="I269" s="64"/>
    </row>
    <row r="270" spans="1:9" x14ac:dyDescent="0.4">
      <c r="A270" t="s">
        <v>0</v>
      </c>
      <c r="B270" s="66" t="s">
        <v>2</v>
      </c>
      <c r="C270" s="67" t="s">
        <v>1</v>
      </c>
      <c r="D270" s="67" t="s">
        <v>113</v>
      </c>
      <c r="E270" s="11" t="s">
        <v>69</v>
      </c>
      <c r="F270" s="6"/>
      <c r="G270" s="6"/>
      <c r="H270" s="6"/>
      <c r="I270" s="6"/>
    </row>
    <row r="271" spans="1:9" x14ac:dyDescent="0.4">
      <c r="A271" t="s">
        <v>3</v>
      </c>
      <c r="B271" s="18">
        <v>3.14</v>
      </c>
      <c r="C271" s="59">
        <f>1258.5</f>
        <v>1258.5</v>
      </c>
      <c r="D271" s="8">
        <f>C271/C273</f>
        <v>52.4375</v>
      </c>
      <c r="E271" s="74">
        <f>(D272+0.0045)/0.0056</f>
        <v>16.949404761904763</v>
      </c>
      <c r="F271" s="6"/>
      <c r="G271" s="6"/>
      <c r="H271" s="6"/>
      <c r="I271" s="6"/>
    </row>
    <row r="272" spans="1:9" x14ac:dyDescent="0.4">
      <c r="A272" t="s">
        <v>5</v>
      </c>
      <c r="B272" s="18">
        <v>4.83</v>
      </c>
      <c r="C272" s="59">
        <v>2.17</v>
      </c>
      <c r="D272" s="32">
        <f>C272/C273</f>
        <v>9.0416666666666659E-2</v>
      </c>
      <c r="E272" s="13"/>
      <c r="F272" s="6"/>
      <c r="G272" s="6"/>
      <c r="H272" s="6"/>
      <c r="I272" s="6"/>
    </row>
    <row r="273" spans="1:9" ht="15" thickBot="1" x14ac:dyDescent="0.45">
      <c r="A273" t="s">
        <v>4</v>
      </c>
      <c r="B273" s="20">
        <v>6.2119999999999997</v>
      </c>
      <c r="C273" s="16">
        <v>24</v>
      </c>
      <c r="D273" s="16"/>
      <c r="E273" s="24"/>
    </row>
    <row r="274" spans="1:9" s="4" customFormat="1" x14ac:dyDescent="0.4">
      <c r="A274" s="4" t="s">
        <v>49</v>
      </c>
    </row>
    <row r="275" spans="1:9" s="1" customFormat="1" ht="15" thickBot="1" x14ac:dyDescent="0.45">
      <c r="A275" s="1" t="s">
        <v>174</v>
      </c>
    </row>
    <row r="276" spans="1:9" s="65" customFormat="1" x14ac:dyDescent="0.4">
      <c r="A276" s="65" t="s">
        <v>0</v>
      </c>
      <c r="B276" s="66" t="s">
        <v>2</v>
      </c>
      <c r="C276" s="67" t="s">
        <v>1</v>
      </c>
      <c r="D276" s="67" t="s">
        <v>113</v>
      </c>
      <c r="E276" s="11" t="s">
        <v>69</v>
      </c>
      <c r="F276" s="71"/>
      <c r="G276" s="71"/>
      <c r="H276" s="59"/>
      <c r="I276" s="59"/>
    </row>
    <row r="277" spans="1:9" s="65" customFormat="1" x14ac:dyDescent="0.4">
      <c r="A277" s="65" t="s">
        <v>3</v>
      </c>
      <c r="B277" s="70">
        <v>3.1</v>
      </c>
      <c r="C277" s="59">
        <v>1818.5</v>
      </c>
      <c r="D277" s="72">
        <f>C277/C279</f>
        <v>51.661931818181813</v>
      </c>
      <c r="E277" s="74">
        <f>(D278+0.0045)/0.0056</f>
        <v>4.060470779220779</v>
      </c>
      <c r="F277" s="73"/>
      <c r="G277" s="71"/>
      <c r="H277" s="71"/>
      <c r="I277" s="71"/>
    </row>
    <row r="278" spans="1:9" s="65" customFormat="1" x14ac:dyDescent="0.4">
      <c r="A278" s="65" t="s">
        <v>5</v>
      </c>
      <c r="B278" s="70">
        <v>4.83</v>
      </c>
      <c r="C278" s="71">
        <v>0.64200000000000002</v>
      </c>
      <c r="D278" s="31">
        <f>C278/C279</f>
        <v>1.8238636363636363E-2</v>
      </c>
      <c r="E278" s="74"/>
      <c r="F278" s="72"/>
      <c r="G278" s="71"/>
      <c r="H278" s="71"/>
      <c r="I278" s="71"/>
    </row>
    <row r="279" spans="1:9" s="65" customFormat="1" ht="15" thickBot="1" x14ac:dyDescent="0.45">
      <c r="A279" s="65" t="s">
        <v>4</v>
      </c>
      <c r="B279" s="75">
        <v>6.2119999999999997</v>
      </c>
      <c r="C279" s="76">
        <v>35.200000000000003</v>
      </c>
      <c r="D279" s="76"/>
      <c r="E279" s="77"/>
      <c r="F279" s="71"/>
      <c r="G279" s="71"/>
      <c r="H279" s="71"/>
      <c r="I279" s="71"/>
    </row>
    <row r="280" spans="1:9" s="78" customFormat="1" ht="15" thickBot="1" x14ac:dyDescent="0.45">
      <c r="A280" s="1" t="s">
        <v>175</v>
      </c>
    </row>
    <row r="281" spans="1:9" s="65" customFormat="1" x14ac:dyDescent="0.4">
      <c r="A281" s="65" t="s">
        <v>0</v>
      </c>
      <c r="B281" s="66" t="s">
        <v>2</v>
      </c>
      <c r="C281" s="67" t="s">
        <v>1</v>
      </c>
      <c r="D281" s="67" t="s">
        <v>113</v>
      </c>
      <c r="E281" s="11" t="s">
        <v>69</v>
      </c>
    </row>
    <row r="282" spans="1:9" s="65" customFormat="1" x14ac:dyDescent="0.4">
      <c r="A282" s="65" t="s">
        <v>3</v>
      </c>
      <c r="B282" s="70">
        <v>3.14</v>
      </c>
      <c r="C282" s="59">
        <v>1709.7</v>
      </c>
      <c r="D282" s="72">
        <f>C282/C284</f>
        <v>52.444785276073617</v>
      </c>
      <c r="E282" s="74">
        <f>(D283+0.0045)/0.0056</f>
        <v>8.2531770376862408</v>
      </c>
    </row>
    <row r="283" spans="1:9" s="65" customFormat="1" x14ac:dyDescent="0.4">
      <c r="A283" s="65" t="s">
        <v>5</v>
      </c>
      <c r="B283" s="70">
        <v>4.83</v>
      </c>
      <c r="C283" s="59">
        <v>1.36</v>
      </c>
      <c r="D283" s="31">
        <f>C283/C284</f>
        <v>4.1717791411042947E-2</v>
      </c>
      <c r="E283" s="74"/>
    </row>
    <row r="284" spans="1:9" s="65" customFormat="1" ht="15" thickBot="1" x14ac:dyDescent="0.45">
      <c r="A284" s="65" t="s">
        <v>4</v>
      </c>
      <c r="B284" s="75">
        <v>6.2119999999999997</v>
      </c>
      <c r="C284" s="76">
        <v>32.6</v>
      </c>
      <c r="D284" s="76"/>
      <c r="E284" s="77"/>
    </row>
    <row r="285" spans="1:9" s="78" customFormat="1" ht="15" thickBot="1" x14ac:dyDescent="0.45">
      <c r="A285" s="1" t="s">
        <v>176</v>
      </c>
      <c r="F285" s="79"/>
    </row>
    <row r="286" spans="1:9" x14ac:dyDescent="0.4">
      <c r="A286" t="s">
        <v>0</v>
      </c>
      <c r="B286" s="66" t="s">
        <v>2</v>
      </c>
      <c r="C286" s="67" t="s">
        <v>1</v>
      </c>
      <c r="D286" s="67" t="s">
        <v>113</v>
      </c>
      <c r="E286" s="11" t="s">
        <v>69</v>
      </c>
      <c r="F286" s="6"/>
      <c r="G286" s="6"/>
      <c r="H286" s="21"/>
      <c r="I286" s="21"/>
    </row>
    <row r="287" spans="1:9" x14ac:dyDescent="0.4">
      <c r="A287" t="s">
        <v>3</v>
      </c>
      <c r="B287" s="18">
        <v>3.1</v>
      </c>
      <c r="C287" s="59">
        <v>1325.5</v>
      </c>
      <c r="D287" s="8">
        <f>C277/C289</f>
        <v>69.674329501915707</v>
      </c>
      <c r="E287" s="74">
        <f>(D288+0.0045)/0.0056</f>
        <v>12.845169677066229</v>
      </c>
      <c r="F287" s="63"/>
      <c r="G287" s="6"/>
      <c r="H287" s="6"/>
      <c r="I287" s="6"/>
    </row>
    <row r="288" spans="1:9" x14ac:dyDescent="0.4">
      <c r="A288" t="s">
        <v>5</v>
      </c>
      <c r="B288" s="18">
        <v>4.83</v>
      </c>
      <c r="C288" s="59">
        <v>1.76</v>
      </c>
      <c r="D288" s="32">
        <f>C288/C289</f>
        <v>6.7432950191570876E-2</v>
      </c>
      <c r="E288" s="13"/>
      <c r="F288" s="8"/>
      <c r="G288" s="6"/>
      <c r="H288" s="6"/>
      <c r="I288" s="6"/>
    </row>
    <row r="289" spans="1:9" ht="15" thickBot="1" x14ac:dyDescent="0.45">
      <c r="A289" t="s">
        <v>4</v>
      </c>
      <c r="B289" s="20">
        <v>6.2119999999999997</v>
      </c>
      <c r="C289" s="16">
        <v>26.1</v>
      </c>
      <c r="D289" s="16"/>
      <c r="E289" s="24"/>
      <c r="F289" s="6"/>
      <c r="G289" s="6"/>
      <c r="H289" s="6"/>
      <c r="I289" s="6"/>
    </row>
    <row r="290" spans="1:9" s="1" customFormat="1" ht="15" thickBot="1" x14ac:dyDescent="0.45">
      <c r="A290" s="1" t="s">
        <v>177</v>
      </c>
      <c r="F290" s="64"/>
      <c r="G290" s="64"/>
      <c r="H290" s="64"/>
      <c r="I290" s="64"/>
    </row>
    <row r="291" spans="1:9" x14ac:dyDescent="0.4">
      <c r="A291" t="s">
        <v>0</v>
      </c>
      <c r="B291" s="66" t="s">
        <v>2</v>
      </c>
      <c r="C291" s="67" t="s">
        <v>1</v>
      </c>
      <c r="D291" s="67" t="s">
        <v>113</v>
      </c>
      <c r="E291" s="11" t="s">
        <v>69</v>
      </c>
      <c r="F291" s="6"/>
      <c r="G291" s="6"/>
      <c r="H291" s="6"/>
      <c r="I291" s="6"/>
    </row>
    <row r="292" spans="1:9" x14ac:dyDescent="0.4">
      <c r="A292" t="s">
        <v>3</v>
      </c>
      <c r="B292" s="18">
        <v>3.14</v>
      </c>
      <c r="C292" s="59">
        <v>1295.0999999999999</v>
      </c>
      <c r="D292" s="8">
        <f>C292/C294</f>
        <v>52.861224489795916</v>
      </c>
      <c r="E292" s="74">
        <f>(D293+0.0045)/0.0056</f>
        <v>16.765670553935863</v>
      </c>
      <c r="F292" s="6"/>
      <c r="G292" s="6"/>
      <c r="H292" s="6"/>
      <c r="I292" s="6"/>
    </row>
    <row r="293" spans="1:9" x14ac:dyDescent="0.4">
      <c r="A293" t="s">
        <v>5</v>
      </c>
      <c r="B293" s="18">
        <v>4.83</v>
      </c>
      <c r="C293" s="59">
        <v>2.19</v>
      </c>
      <c r="D293" s="32">
        <f>C293/C294</f>
        <v>8.938775510204082E-2</v>
      </c>
      <c r="E293" s="13"/>
      <c r="F293" s="6"/>
      <c r="G293" s="6"/>
      <c r="H293" s="6"/>
      <c r="I293" s="6"/>
    </row>
    <row r="294" spans="1:9" ht="15" thickBot="1" x14ac:dyDescent="0.45">
      <c r="A294" t="s">
        <v>4</v>
      </c>
      <c r="B294" s="20">
        <v>6.2119999999999997</v>
      </c>
      <c r="C294" s="16">
        <v>24.5</v>
      </c>
      <c r="D294" s="16"/>
      <c r="E294" s="2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BC4B6-503D-48CA-A7AD-D44F5CB67FFE}">
  <dimension ref="A1:BK168"/>
  <sheetViews>
    <sheetView topLeftCell="Y32" zoomScale="49" zoomScaleNormal="85" workbookViewId="0">
      <selection activeCell="J7" sqref="J7"/>
    </sheetView>
  </sheetViews>
  <sheetFormatPr defaultRowHeight="14.6" x14ac:dyDescent="0.4"/>
  <cols>
    <col min="10" max="15" width="8.69140625" style="21"/>
    <col min="16" max="16" width="10" style="21" customWidth="1"/>
    <col min="17" max="32" width="8.69140625" style="21"/>
    <col min="33" max="33" width="20.4609375" style="21" customWidth="1"/>
    <col min="34" max="38" width="8.69140625" style="21"/>
    <col min="39" max="39" width="19.3828125" style="21" customWidth="1"/>
    <col min="40" max="63" width="8.69140625" style="21"/>
  </cols>
  <sheetData>
    <row r="1" spans="1:63" s="4" customFormat="1" x14ac:dyDescent="0.4">
      <c r="A1" s="4" t="s">
        <v>186</v>
      </c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</row>
    <row r="2" spans="1:63" s="1" customFormat="1" ht="15" thickBot="1" x14ac:dyDescent="0.45">
      <c r="A2" s="1" t="s">
        <v>417</v>
      </c>
      <c r="G2" s="60"/>
      <c r="H2" s="60"/>
      <c r="I2" s="60"/>
      <c r="J2" s="21"/>
      <c r="K2" s="21"/>
      <c r="L2" s="21"/>
      <c r="M2" s="21"/>
      <c r="N2" s="105" t="s">
        <v>203</v>
      </c>
      <c r="O2" s="105"/>
      <c r="P2" s="105"/>
      <c r="Q2" s="112"/>
      <c r="R2" s="112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</row>
    <row r="3" spans="1:63" s="65" customFormat="1" x14ac:dyDescent="0.4">
      <c r="A3" s="65" t="s">
        <v>0</v>
      </c>
      <c r="B3" s="66" t="s">
        <v>2</v>
      </c>
      <c r="C3" s="67" t="s">
        <v>1</v>
      </c>
      <c r="D3" s="67" t="s">
        <v>113</v>
      </c>
      <c r="E3" s="11" t="s">
        <v>69</v>
      </c>
      <c r="F3" s="65" t="s">
        <v>180</v>
      </c>
      <c r="G3" s="21"/>
      <c r="H3" s="21"/>
      <c r="I3" s="59"/>
      <c r="J3" s="59" t="s">
        <v>410</v>
      </c>
      <c r="K3" s="59"/>
      <c r="L3" s="59"/>
      <c r="M3" s="59"/>
      <c r="N3" s="105" t="s">
        <v>187</v>
      </c>
      <c r="O3" s="105" t="s">
        <v>188</v>
      </c>
      <c r="P3" s="105" t="s">
        <v>208</v>
      </c>
      <c r="Q3" s="112" t="s">
        <v>294</v>
      </c>
      <c r="R3" s="112" t="s">
        <v>295</v>
      </c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165" t="s">
        <v>234</v>
      </c>
      <c r="AI3" s="165"/>
      <c r="AJ3" s="165"/>
      <c r="AK3" s="165"/>
      <c r="AL3" s="165"/>
      <c r="AN3" s="165" t="s">
        <v>235</v>
      </c>
      <c r="AO3" s="165"/>
      <c r="AP3" s="165"/>
      <c r="AQ3" s="165"/>
      <c r="AR3" s="165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</row>
    <row r="4" spans="1:63" s="65" customFormat="1" x14ac:dyDescent="0.4">
      <c r="A4" s="65" t="s">
        <v>3</v>
      </c>
      <c r="B4" s="70">
        <v>3.1</v>
      </c>
      <c r="C4" s="71">
        <v>6752.6</v>
      </c>
      <c r="D4" s="72">
        <f>C4/C6</f>
        <v>53.762738853503187</v>
      </c>
      <c r="E4" s="74">
        <f>(D5+0.0045)/0.0056</f>
        <v>2.5238853503184711</v>
      </c>
      <c r="F4" s="97">
        <f>(C5/(C4+C5))</f>
        <v>1.791581344455944E-4</v>
      </c>
      <c r="G4" s="106"/>
      <c r="H4" s="106"/>
      <c r="I4" s="59"/>
      <c r="J4" s="158" t="s">
        <v>404</v>
      </c>
      <c r="K4" s="158"/>
      <c r="L4" s="59"/>
      <c r="M4" s="59"/>
      <c r="N4" s="101" t="s">
        <v>419</v>
      </c>
      <c r="O4" s="101">
        <v>0.5</v>
      </c>
      <c r="P4" s="102">
        <f>E4</f>
        <v>2.5238853503184711</v>
      </c>
      <c r="Q4" s="160">
        <f>(P7-P4)/1.5</f>
        <v>6.0267883422839441</v>
      </c>
      <c r="R4" s="160">
        <f>P7/(1/1000)/2</f>
        <v>5782.0339318721935</v>
      </c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108"/>
      <c r="AH4" s="108" t="s">
        <v>229</v>
      </c>
      <c r="AI4" s="108" t="s">
        <v>228</v>
      </c>
      <c r="AJ4" s="108" t="s">
        <v>231</v>
      </c>
      <c r="AK4" s="108" t="s">
        <v>233</v>
      </c>
      <c r="AL4" s="108" t="s">
        <v>230</v>
      </c>
      <c r="AM4" s="108"/>
      <c r="AN4" s="108" t="s">
        <v>229</v>
      </c>
      <c r="AO4" s="108" t="s">
        <v>228</v>
      </c>
      <c r="AP4" s="108" t="s">
        <v>231</v>
      </c>
      <c r="AQ4" s="108" t="s">
        <v>233</v>
      </c>
      <c r="AR4" s="108" t="s">
        <v>230</v>
      </c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</row>
    <row r="5" spans="1:63" s="65" customFormat="1" x14ac:dyDescent="0.4">
      <c r="A5" s="65" t="s">
        <v>5</v>
      </c>
      <c r="B5" s="70">
        <v>4.83</v>
      </c>
      <c r="C5" s="71">
        <v>1.21</v>
      </c>
      <c r="D5" s="31">
        <f>C5/C6</f>
        <v>9.6337579617834391E-3</v>
      </c>
      <c r="E5" s="74"/>
      <c r="F5" s="72"/>
      <c r="G5" s="59"/>
      <c r="H5" s="59"/>
      <c r="I5" s="59"/>
      <c r="J5" s="108" t="s">
        <v>405</v>
      </c>
      <c r="K5" s="108" t="s">
        <v>406</v>
      </c>
      <c r="L5" s="89"/>
      <c r="M5" s="59"/>
      <c r="N5" s="101" t="s">
        <v>79</v>
      </c>
      <c r="O5" s="101">
        <v>1</v>
      </c>
      <c r="P5" s="102">
        <f>E9</f>
        <v>5.320793337097685</v>
      </c>
      <c r="Q5" s="160"/>
      <c r="R5" s="160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108" t="s">
        <v>225</v>
      </c>
      <c r="AH5" s="109">
        <v>5.6</v>
      </c>
      <c r="AI5" s="108">
        <v>4.2</v>
      </c>
      <c r="AJ5" s="108">
        <v>2.7</v>
      </c>
      <c r="AK5" s="108"/>
      <c r="AL5" s="108"/>
      <c r="AM5" s="108" t="s">
        <v>225</v>
      </c>
      <c r="AN5" s="109">
        <f>5.6/5</f>
        <v>1.1199999999999999</v>
      </c>
      <c r="AO5" s="108">
        <f>4.2/1</f>
        <v>4.2</v>
      </c>
      <c r="AP5" s="109">
        <f>2.7/0.5</f>
        <v>5.4</v>
      </c>
      <c r="AQ5" s="108"/>
      <c r="AR5" s="108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</row>
    <row r="6" spans="1:63" s="65" customFormat="1" ht="15" thickBot="1" x14ac:dyDescent="0.45">
      <c r="A6" s="65" t="s">
        <v>4</v>
      </c>
      <c r="B6" s="75">
        <v>6.2119999999999997</v>
      </c>
      <c r="C6" s="76">
        <v>125.6</v>
      </c>
      <c r="D6" s="76"/>
      <c r="E6" s="77"/>
      <c r="F6" s="100">
        <f>C6/(C4+C5+C6)</f>
        <v>1.8257379629939192E-2</v>
      </c>
      <c r="G6" s="59"/>
      <c r="H6" s="59"/>
      <c r="I6" s="59"/>
      <c r="J6" s="108">
        <f>0.222*0.5*0.185/0.5/44400*1000*1000</f>
        <v>0.92500000000000004</v>
      </c>
      <c r="K6" s="108">
        <f>0.111*0.5*0.185/0.5/44400*1000*1000</f>
        <v>0.46250000000000002</v>
      </c>
      <c r="L6" s="59" t="s">
        <v>418</v>
      </c>
      <c r="M6" s="59"/>
      <c r="N6" s="101" t="s">
        <v>79</v>
      </c>
      <c r="O6" s="101">
        <v>1.5</v>
      </c>
      <c r="P6" s="102">
        <f>E14</f>
        <v>8.3716694421315569</v>
      </c>
      <c r="Q6" s="160"/>
      <c r="R6" s="160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108" t="s">
        <v>224</v>
      </c>
      <c r="AH6" s="108">
        <v>1.8</v>
      </c>
      <c r="AI6" s="108"/>
      <c r="AJ6" s="108"/>
      <c r="AK6" s="108"/>
      <c r="AL6" s="108"/>
      <c r="AM6" s="108" t="s">
        <v>224</v>
      </c>
      <c r="AN6" s="108">
        <f>1.8/5</f>
        <v>0.36</v>
      </c>
      <c r="AO6" s="108"/>
      <c r="AP6" s="108"/>
      <c r="AQ6" s="108"/>
      <c r="AR6" s="108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</row>
    <row r="7" spans="1:63" s="78" customFormat="1" ht="15" thickBot="1" x14ac:dyDescent="0.45">
      <c r="A7" s="1" t="s">
        <v>189</v>
      </c>
      <c r="G7" s="87"/>
      <c r="H7" s="87"/>
      <c r="I7" s="87"/>
      <c r="J7" s="108"/>
      <c r="K7" s="108"/>
      <c r="L7" s="89"/>
      <c r="M7" s="59"/>
      <c r="N7" s="101" t="s">
        <v>79</v>
      </c>
      <c r="O7" s="101">
        <v>2</v>
      </c>
      <c r="P7" s="102">
        <f>E19</f>
        <v>11.564067863744388</v>
      </c>
      <c r="Q7" s="160"/>
      <c r="R7" s="160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108" t="s">
        <v>226</v>
      </c>
      <c r="AH7" s="109">
        <v>5.0999999999999996</v>
      </c>
      <c r="AI7" s="108"/>
      <c r="AJ7" s="108"/>
      <c r="AK7" s="108"/>
      <c r="AL7" s="108"/>
      <c r="AM7" s="108" t="s">
        <v>226</v>
      </c>
      <c r="AN7" s="109">
        <f>5.1/5</f>
        <v>1.02</v>
      </c>
      <c r="AO7" s="108"/>
      <c r="AP7" s="108"/>
      <c r="AQ7" s="108"/>
      <c r="AR7" s="108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</row>
    <row r="8" spans="1:63" s="65" customFormat="1" x14ac:dyDescent="0.4">
      <c r="A8" s="65" t="s">
        <v>0</v>
      </c>
      <c r="B8" s="66" t="s">
        <v>2</v>
      </c>
      <c r="C8" s="67" t="s">
        <v>1</v>
      </c>
      <c r="D8" s="67" t="s">
        <v>113</v>
      </c>
      <c r="E8" s="11" t="s">
        <v>69</v>
      </c>
      <c r="F8" s="65" t="s">
        <v>180</v>
      </c>
      <c r="G8" s="21"/>
      <c r="H8" s="21"/>
      <c r="I8" s="87"/>
      <c r="J8" s="158" t="s">
        <v>407</v>
      </c>
      <c r="K8" s="158"/>
      <c r="L8" s="59"/>
      <c r="M8" s="59"/>
      <c r="N8" s="139" t="s">
        <v>420</v>
      </c>
      <c r="O8" s="139">
        <v>0.5</v>
      </c>
      <c r="P8" s="140">
        <f>E25</f>
        <v>1.7668981750552133</v>
      </c>
      <c r="Q8" s="162">
        <f>(P11-P8)/1.5</f>
        <v>2.7408255271991564</v>
      </c>
      <c r="R8" s="164">
        <f>P11/(0.5/1000)/2</f>
        <v>5878.1364658539478</v>
      </c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108" t="s">
        <v>227</v>
      </c>
      <c r="AH8" s="108"/>
      <c r="AI8" s="108"/>
      <c r="AJ8" s="108">
        <v>6</v>
      </c>
      <c r="AK8" s="108">
        <v>5.3</v>
      </c>
      <c r="AL8" s="108">
        <v>1.9</v>
      </c>
      <c r="AM8" s="108" t="s">
        <v>227</v>
      </c>
      <c r="AN8" s="108"/>
      <c r="AO8" s="108"/>
      <c r="AP8" s="108">
        <f>(6/0.5)</f>
        <v>12</v>
      </c>
      <c r="AQ8" s="108">
        <f>5.3/0.25</f>
        <v>21.2</v>
      </c>
      <c r="AR8" s="108">
        <f>1.9/0.1</f>
        <v>18.999999999999996</v>
      </c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</row>
    <row r="9" spans="1:63" s="65" customFormat="1" x14ac:dyDescent="0.4">
      <c r="A9" s="65" t="s">
        <v>3</v>
      </c>
      <c r="B9" s="70">
        <v>3.14</v>
      </c>
      <c r="C9" s="59">
        <v>6871.4</v>
      </c>
      <c r="D9" s="72">
        <f>C9/C11</f>
        <v>54.319367588932806</v>
      </c>
      <c r="E9" s="74">
        <f>(D10+0.0045)/0.0056</f>
        <v>5.320793337097685</v>
      </c>
      <c r="F9" s="97">
        <f>(C10/(C9+C10))</f>
        <v>4.6548162802199407E-4</v>
      </c>
      <c r="G9" s="106"/>
      <c r="H9" s="106"/>
      <c r="I9" s="87"/>
      <c r="J9" s="108" t="s">
        <v>409</v>
      </c>
      <c r="K9" s="108" t="s">
        <v>408</v>
      </c>
      <c r="L9" s="89"/>
      <c r="M9" s="59"/>
      <c r="N9" s="139" t="s">
        <v>81</v>
      </c>
      <c r="O9" s="139">
        <v>1</v>
      </c>
      <c r="P9" s="140">
        <f>E30</f>
        <v>3.0618517898962865</v>
      </c>
      <c r="Q9" s="162"/>
      <c r="R9" s="164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108" t="s">
        <v>232</v>
      </c>
      <c r="AH9" s="109"/>
      <c r="AI9" s="108"/>
      <c r="AJ9" s="110"/>
      <c r="AK9" s="110"/>
      <c r="AL9" s="110">
        <v>0</v>
      </c>
      <c r="AM9" s="108" t="s">
        <v>232</v>
      </c>
      <c r="AN9" s="109"/>
      <c r="AO9" s="108"/>
      <c r="AP9" s="110"/>
      <c r="AQ9" s="110"/>
      <c r="AR9" s="110">
        <v>0</v>
      </c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</row>
    <row r="10" spans="1:63" s="65" customFormat="1" x14ac:dyDescent="0.4">
      <c r="A10" s="65" t="s">
        <v>5</v>
      </c>
      <c r="B10" s="70">
        <v>4.83</v>
      </c>
      <c r="C10" s="59">
        <v>3.2</v>
      </c>
      <c r="D10" s="31">
        <f>C10/C11</f>
        <v>2.5296442687747035E-2</v>
      </c>
      <c r="E10" s="74"/>
      <c r="G10" s="87"/>
      <c r="H10" s="87"/>
      <c r="I10" s="87"/>
      <c r="J10" s="108">
        <f>7.8/1000*2.86/0.5/44400*1000*1000</f>
        <v>1.0048648648648648</v>
      </c>
      <c r="K10" s="108">
        <f>3.9/1000*2.86/0.5/44400*1000*1000</f>
        <v>0.50243243243243241</v>
      </c>
      <c r="L10" s="59" t="s">
        <v>418</v>
      </c>
      <c r="M10" s="59"/>
      <c r="N10" s="139" t="s">
        <v>81</v>
      </c>
      <c r="O10" s="139">
        <v>1.5</v>
      </c>
      <c r="P10" s="140">
        <f>E35</f>
        <v>4.746836391987526</v>
      </c>
      <c r="Q10" s="162"/>
      <c r="R10" s="164"/>
      <c r="S10" s="143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</row>
    <row r="11" spans="1:63" s="65" customFormat="1" ht="15" thickBot="1" x14ac:dyDescent="0.45">
      <c r="A11" s="65" t="s">
        <v>4</v>
      </c>
      <c r="B11" s="75">
        <v>6.2119999999999997</v>
      </c>
      <c r="C11" s="76">
        <v>126.5</v>
      </c>
      <c r="D11" s="76"/>
      <c r="E11" s="77"/>
      <c r="F11" s="100">
        <f>C11/(C9+C10+C11)</f>
        <v>1.8068589221693736E-2</v>
      </c>
      <c r="G11" s="87"/>
      <c r="H11" s="87"/>
      <c r="I11" s="87"/>
      <c r="J11" s="59"/>
      <c r="K11" s="59"/>
      <c r="L11" s="89"/>
      <c r="M11" s="59"/>
      <c r="N11" s="139" t="s">
        <v>81</v>
      </c>
      <c r="O11" s="139">
        <v>2</v>
      </c>
      <c r="P11" s="140">
        <f>E40</f>
        <v>5.8781364658539479</v>
      </c>
      <c r="Q11" s="162"/>
      <c r="R11" s="164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89"/>
      <c r="AI11" s="59"/>
      <c r="AJ11" s="88"/>
      <c r="AK11" s="88"/>
      <c r="AL11" s="88"/>
      <c r="AM11" s="88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</row>
    <row r="12" spans="1:63" s="78" customFormat="1" ht="15" thickBot="1" x14ac:dyDescent="0.45">
      <c r="A12" s="1" t="s">
        <v>190</v>
      </c>
      <c r="F12" s="79"/>
      <c r="G12" s="87"/>
      <c r="H12" s="87"/>
      <c r="I12" s="87"/>
      <c r="J12" s="59"/>
      <c r="K12" s="59"/>
      <c r="L12" s="59"/>
      <c r="M12" s="59"/>
      <c r="N12" s="141" t="s">
        <v>421</v>
      </c>
      <c r="O12" s="141">
        <v>0.5</v>
      </c>
      <c r="P12" s="142">
        <f>E46</f>
        <v>1.9825175833045081</v>
      </c>
      <c r="Q12" s="163">
        <f>(P15-P12)/1.5</f>
        <v>5.2677956002393529</v>
      </c>
      <c r="R12" s="163">
        <f>P15/(0.5/1000)/2</f>
        <v>9884.2109836635373</v>
      </c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</row>
    <row r="13" spans="1:63" x14ac:dyDescent="0.4">
      <c r="A13" t="s">
        <v>0</v>
      </c>
      <c r="B13" s="66" t="s">
        <v>2</v>
      </c>
      <c r="C13" s="67" t="s">
        <v>1</v>
      </c>
      <c r="D13" s="67" t="s">
        <v>113</v>
      </c>
      <c r="E13" s="11" t="s">
        <v>69</v>
      </c>
      <c r="F13" s="65" t="s">
        <v>180</v>
      </c>
      <c r="G13" s="21"/>
      <c r="H13" s="21"/>
      <c r="I13" s="21"/>
      <c r="J13" s="59" t="s">
        <v>425</v>
      </c>
      <c r="K13" s="59" t="s">
        <v>426</v>
      </c>
      <c r="L13" s="89"/>
      <c r="M13" s="59"/>
      <c r="N13" s="141" t="s">
        <v>83</v>
      </c>
      <c r="O13" s="141">
        <v>1</v>
      </c>
      <c r="P13" s="142">
        <f>E51</f>
        <v>4.6208068247541938</v>
      </c>
      <c r="Q13" s="163"/>
      <c r="R13" s="163"/>
      <c r="AF13" s="59"/>
      <c r="AG13" s="59"/>
      <c r="AH13" s="59"/>
    </row>
    <row r="14" spans="1:63" x14ac:dyDescent="0.4">
      <c r="A14" t="s">
        <v>3</v>
      </c>
      <c r="B14" s="18">
        <v>3.1</v>
      </c>
      <c r="C14" s="59">
        <v>6532.8</v>
      </c>
      <c r="D14" s="8">
        <f>C14/C16</f>
        <v>54.394671107410495</v>
      </c>
      <c r="E14" s="74">
        <f>(D15+0.0045)/0.0056</f>
        <v>8.3716694421315569</v>
      </c>
      <c r="F14" s="97">
        <f>(C15/(C14+C15))</f>
        <v>7.7853864167185427E-4</v>
      </c>
      <c r="G14" s="106"/>
      <c r="H14" s="106"/>
      <c r="I14" s="21"/>
      <c r="J14" s="108">
        <f>0.2*0.5*0.185/0.5/44400*1000*1000</f>
        <v>0.83333333333333326</v>
      </c>
      <c r="K14" s="108">
        <f>7/1000*2.86/0.5/44400*1000*1000</f>
        <v>0.90180180180180169</v>
      </c>
      <c r="L14" s="59"/>
      <c r="M14" s="59"/>
      <c r="N14" s="141" t="s">
        <v>83</v>
      </c>
      <c r="O14" s="141">
        <v>1.5</v>
      </c>
      <c r="P14" s="142">
        <f>E56</f>
        <v>7.4058401276143204</v>
      </c>
      <c r="Q14" s="163"/>
      <c r="R14" s="163"/>
      <c r="AI14" s="59"/>
      <c r="AJ14" s="59"/>
    </row>
    <row r="15" spans="1:63" x14ac:dyDescent="0.4">
      <c r="A15" t="s">
        <v>5</v>
      </c>
      <c r="B15" s="18">
        <v>4.83</v>
      </c>
      <c r="C15" s="59">
        <v>5.09</v>
      </c>
      <c r="D15" s="32">
        <f>C15/C16</f>
        <v>4.2381348875936718E-2</v>
      </c>
      <c r="E15" s="13"/>
      <c r="F15" s="94"/>
      <c r="G15" s="108" t="s">
        <v>403</v>
      </c>
      <c r="H15" s="109">
        <v>0.83333333333333326</v>
      </c>
      <c r="I15" s="108" t="s">
        <v>124</v>
      </c>
      <c r="J15" s="110">
        <v>3.4169676393284587</v>
      </c>
      <c r="K15" s="110">
        <v>8.1103287353287357</v>
      </c>
      <c r="L15" s="110">
        <v>12.643181142939106</v>
      </c>
      <c r="M15" s="157">
        <v>17.144617000337163</v>
      </c>
      <c r="N15" s="141" t="s">
        <v>83</v>
      </c>
      <c r="O15" s="141">
        <v>2</v>
      </c>
      <c r="P15" s="142">
        <f>E61</f>
        <v>9.8842109836635377</v>
      </c>
      <c r="Q15" s="163"/>
      <c r="R15" s="163"/>
    </row>
    <row r="16" spans="1:63" ht="15" thickBot="1" x14ac:dyDescent="0.45">
      <c r="A16" t="s">
        <v>4</v>
      </c>
      <c r="B16" s="20">
        <v>6.2119999999999997</v>
      </c>
      <c r="C16" s="16">
        <v>120.1</v>
      </c>
      <c r="D16" s="16"/>
      <c r="E16" s="24"/>
      <c r="F16" s="100">
        <f>C16/(C14+C15+C16)</f>
        <v>1.8038477077916906E-2</v>
      </c>
      <c r="G16" s="108" t="s">
        <v>171</v>
      </c>
      <c r="H16" s="109">
        <v>0.9</v>
      </c>
      <c r="I16" s="108" t="s">
        <v>124</v>
      </c>
      <c r="J16" s="108">
        <v>4.2177353896103895</v>
      </c>
      <c r="K16" s="108">
        <v>8.1845844917129789</v>
      </c>
      <c r="L16" s="108">
        <v>12.726940785932996</v>
      </c>
      <c r="M16" s="108">
        <v>16.857537657920311</v>
      </c>
      <c r="N16" s="103" t="s">
        <v>422</v>
      </c>
      <c r="O16" s="103">
        <v>0.5</v>
      </c>
      <c r="P16" s="104">
        <f>E67</f>
        <v>2.0324650077760498</v>
      </c>
      <c r="Q16" s="161">
        <f>(P19-P16)/1.5</f>
        <v>4.18013888317265</v>
      </c>
      <c r="R16" s="159">
        <f>P19/(1/1000)/2</f>
        <v>4151.3366662675126</v>
      </c>
    </row>
    <row r="17" spans="1:63" s="1" customFormat="1" ht="15" thickBot="1" x14ac:dyDescent="0.45">
      <c r="A17" s="1" t="s">
        <v>191</v>
      </c>
      <c r="F17" s="64"/>
      <c r="G17" s="21"/>
      <c r="H17" s="21"/>
      <c r="I17" s="21"/>
      <c r="J17" s="21"/>
      <c r="K17" s="21"/>
      <c r="L17" s="21"/>
      <c r="M17" s="21"/>
      <c r="N17" s="103" t="s">
        <v>85</v>
      </c>
      <c r="O17" s="103">
        <v>1</v>
      </c>
      <c r="P17" s="104">
        <f>E72</f>
        <v>3.9091614906832302</v>
      </c>
      <c r="Q17" s="161"/>
      <c r="R17" s="159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</row>
    <row r="18" spans="1:63" x14ac:dyDescent="0.4">
      <c r="A18" t="s">
        <v>0</v>
      </c>
      <c r="B18" s="66" t="s">
        <v>2</v>
      </c>
      <c r="C18" s="67" t="s">
        <v>1</v>
      </c>
      <c r="D18" s="67" t="s">
        <v>113</v>
      </c>
      <c r="E18" s="11" t="s">
        <v>69</v>
      </c>
      <c r="F18" s="65" t="s">
        <v>180</v>
      </c>
      <c r="G18" s="21"/>
      <c r="H18" s="21"/>
      <c r="I18" s="21"/>
      <c r="N18" s="103" t="s">
        <v>85</v>
      </c>
      <c r="O18" s="103">
        <v>1.5</v>
      </c>
      <c r="P18" s="104">
        <f>E77</f>
        <v>6.1770425127657056</v>
      </c>
      <c r="Q18" s="161"/>
      <c r="R18" s="159"/>
    </row>
    <row r="19" spans="1:63" x14ac:dyDescent="0.4">
      <c r="A19" t="s">
        <v>3</v>
      </c>
      <c r="B19" s="18">
        <v>3.14</v>
      </c>
      <c r="C19" s="59">
        <v>5909.2</v>
      </c>
      <c r="D19" s="8">
        <f>C19/C21</f>
        <v>54.613678373382619</v>
      </c>
      <c r="E19" s="74">
        <f>(D20+0.0045)/0.0056</f>
        <v>11.564067863744388</v>
      </c>
      <c r="F19" s="97">
        <f>(C20/(C19+C20))</f>
        <v>1.1021481746938664E-3</v>
      </c>
      <c r="G19" s="106"/>
      <c r="H19" s="106"/>
      <c r="I19" s="21"/>
      <c r="N19" s="103" t="s">
        <v>85</v>
      </c>
      <c r="O19" s="103">
        <v>2</v>
      </c>
      <c r="P19" s="104">
        <f>E82</f>
        <v>8.3026733325350257</v>
      </c>
      <c r="Q19" s="161"/>
      <c r="R19" s="159"/>
    </row>
    <row r="20" spans="1:63" x14ac:dyDescent="0.4">
      <c r="A20" t="s">
        <v>5</v>
      </c>
      <c r="B20" s="18">
        <v>4.83</v>
      </c>
      <c r="C20" s="59">
        <v>6.52</v>
      </c>
      <c r="D20" s="32">
        <f>C20/C21</f>
        <v>6.0258780036968572E-2</v>
      </c>
      <c r="E20" s="13"/>
      <c r="F20" s="6"/>
      <c r="G20" s="21"/>
      <c r="H20" s="21"/>
      <c r="I20" s="21"/>
    </row>
    <row r="21" spans="1:63" ht="15" thickBot="1" x14ac:dyDescent="0.45">
      <c r="A21" t="s">
        <v>4</v>
      </c>
      <c r="B21" s="20">
        <v>6.2119999999999997</v>
      </c>
      <c r="C21" s="16">
        <v>108.2</v>
      </c>
      <c r="D21" s="16"/>
      <c r="E21" s="24"/>
      <c r="F21" s="100">
        <f>C21/(C19+C20+C21)</f>
        <v>1.7961725919334919E-2</v>
      </c>
    </row>
    <row r="22" spans="1:63" s="4" customFormat="1" x14ac:dyDescent="0.4">
      <c r="A22" s="4" t="s">
        <v>186</v>
      </c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</row>
    <row r="23" spans="1:63" s="1" customFormat="1" ht="15" thickBot="1" x14ac:dyDescent="0.45">
      <c r="A23" s="1" t="s">
        <v>192</v>
      </c>
      <c r="G23" s="60"/>
      <c r="H23" s="60"/>
      <c r="I23" s="60"/>
      <c r="J23" s="21"/>
      <c r="K23" s="21"/>
      <c r="L23" s="21"/>
      <c r="M23" s="21"/>
      <c r="N23" s="105" t="s">
        <v>364</v>
      </c>
      <c r="O23" s="105"/>
      <c r="P23" s="105"/>
      <c r="Q23" s="112"/>
      <c r="R23" s="112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</row>
    <row r="24" spans="1:63" s="65" customFormat="1" x14ac:dyDescent="0.4">
      <c r="A24" s="65" t="s">
        <v>0</v>
      </c>
      <c r="B24" s="66" t="s">
        <v>2</v>
      </c>
      <c r="C24" s="67" t="s">
        <v>1</v>
      </c>
      <c r="D24" s="67" t="s">
        <v>113</v>
      </c>
      <c r="E24" s="11" t="s">
        <v>69</v>
      </c>
      <c r="F24" s="65" t="s">
        <v>180</v>
      </c>
      <c r="G24" s="59"/>
      <c r="H24" s="59"/>
      <c r="I24" s="59"/>
      <c r="J24" s="59"/>
      <c r="K24" s="59"/>
      <c r="L24" s="59"/>
      <c r="M24" s="59"/>
      <c r="N24" s="105" t="s">
        <v>187</v>
      </c>
      <c r="O24" s="105" t="s">
        <v>188</v>
      </c>
      <c r="P24" s="105" t="s">
        <v>208</v>
      </c>
      <c r="Q24" s="112" t="s">
        <v>294</v>
      </c>
      <c r="R24" s="112" t="s">
        <v>295</v>
      </c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</row>
    <row r="25" spans="1:63" s="65" customFormat="1" x14ac:dyDescent="0.4">
      <c r="A25" s="65" t="s">
        <v>3</v>
      </c>
      <c r="B25" s="70">
        <v>3.1</v>
      </c>
      <c r="C25" s="71">
        <v>6713.3</v>
      </c>
      <c r="D25" s="72">
        <f>C25/C27</f>
        <v>54.624084621643611</v>
      </c>
      <c r="E25" s="74">
        <f>(D26+0.0045)/0.0056</f>
        <v>1.7668981750552133</v>
      </c>
      <c r="F25" s="97">
        <f>(C26/(C25+C26))</f>
        <v>9.8749427126720846E-5</v>
      </c>
      <c r="G25" s="59"/>
      <c r="H25" s="59"/>
      <c r="I25" s="59"/>
      <c r="J25" s="59"/>
      <c r="K25" s="59"/>
      <c r="L25" s="59"/>
      <c r="M25" s="59"/>
      <c r="N25" s="101" t="s">
        <v>404</v>
      </c>
      <c r="O25" s="101">
        <v>0.5</v>
      </c>
      <c r="P25" s="102">
        <f>E88</f>
        <v>3.1957812675897781</v>
      </c>
      <c r="Q25" s="160">
        <f>(P28-P25)/1.5</f>
        <v>3.9989972272293044</v>
      </c>
      <c r="R25" s="160">
        <f>Q25/(0.5/1000)</f>
        <v>7997.9944544586087</v>
      </c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</row>
    <row r="26" spans="1:63" s="65" customFormat="1" x14ac:dyDescent="0.4">
      <c r="A26" s="65" t="s">
        <v>5</v>
      </c>
      <c r="B26" s="70">
        <v>4.83</v>
      </c>
      <c r="C26" s="71">
        <v>0.66300000000000003</v>
      </c>
      <c r="D26" s="31">
        <f>C26/C27</f>
        <v>5.3946297803091946E-3</v>
      </c>
      <c r="E26" s="74"/>
      <c r="F26" s="72"/>
      <c r="G26" s="59"/>
      <c r="H26" s="59"/>
      <c r="I26" s="59"/>
      <c r="J26" s="59"/>
      <c r="K26" s="59"/>
      <c r="L26" s="89"/>
      <c r="M26" s="59"/>
      <c r="N26" s="101" t="s">
        <v>80</v>
      </c>
      <c r="O26" s="101">
        <v>1</v>
      </c>
      <c r="P26" s="102">
        <f>E93</f>
        <v>4.1429420421100289</v>
      </c>
      <c r="Q26" s="160"/>
      <c r="R26" s="160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8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</row>
    <row r="27" spans="1:63" s="65" customFormat="1" ht="15" thickBot="1" x14ac:dyDescent="0.45">
      <c r="A27" s="65" t="s">
        <v>4</v>
      </c>
      <c r="B27" s="75">
        <v>6.2119999999999997</v>
      </c>
      <c r="C27" s="76">
        <v>122.9</v>
      </c>
      <c r="D27" s="76"/>
      <c r="E27" s="77"/>
      <c r="F27" s="100">
        <f>C27/(C25+C26+C27)</f>
        <v>1.7976080550392778E-2</v>
      </c>
      <c r="G27" s="59"/>
      <c r="H27" s="59"/>
      <c r="I27" s="59"/>
      <c r="J27" s="59"/>
      <c r="K27" s="59"/>
      <c r="L27" s="59"/>
      <c r="M27" s="59"/>
      <c r="N27" s="101" t="s">
        <v>80</v>
      </c>
      <c r="O27" s="101">
        <v>1.5</v>
      </c>
      <c r="P27" s="102">
        <f>E98</f>
        <v>8.0765615962984381</v>
      </c>
      <c r="Q27" s="160"/>
      <c r="R27" s="160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</row>
    <row r="28" spans="1:63" s="78" customFormat="1" ht="15" thickBot="1" x14ac:dyDescent="0.45">
      <c r="A28" s="1" t="s">
        <v>193</v>
      </c>
      <c r="G28" s="87"/>
      <c r="H28" s="87"/>
      <c r="I28" s="87"/>
      <c r="J28" s="59"/>
      <c r="K28" s="59"/>
      <c r="L28" s="89"/>
      <c r="M28" s="59"/>
      <c r="N28" s="101" t="s">
        <v>80</v>
      </c>
      <c r="O28" s="101">
        <v>2</v>
      </c>
      <c r="P28" s="102">
        <f>E103</f>
        <v>9.1942771084337345</v>
      </c>
      <c r="Q28" s="160"/>
      <c r="R28" s="160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8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</row>
    <row r="29" spans="1:63" s="65" customFormat="1" x14ac:dyDescent="0.4">
      <c r="A29" s="65" t="s">
        <v>0</v>
      </c>
      <c r="B29" s="66" t="s">
        <v>2</v>
      </c>
      <c r="C29" s="67" t="s">
        <v>1</v>
      </c>
      <c r="D29" s="67" t="s">
        <v>113</v>
      </c>
      <c r="E29" s="11" t="s">
        <v>69</v>
      </c>
      <c r="F29" s="65" t="s">
        <v>180</v>
      </c>
      <c r="G29" s="87"/>
      <c r="H29" s="87"/>
      <c r="I29" s="87"/>
      <c r="J29" s="59"/>
      <c r="K29" s="59"/>
      <c r="L29" s="59"/>
      <c r="M29" s="59"/>
      <c r="N29" s="139" t="s">
        <v>407</v>
      </c>
      <c r="O29" s="139">
        <v>0.5</v>
      </c>
      <c r="P29" s="140">
        <f>E109</f>
        <v>2.0934873949579833</v>
      </c>
      <c r="Q29" s="162">
        <f t="shared" ref="Q29" si="0">(P32-P29)/1.5</f>
        <v>2.3312201285008385</v>
      </c>
      <c r="R29" s="164">
        <f>Q29/(0.5/1000)</f>
        <v>4662.4402570016773</v>
      </c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</row>
    <row r="30" spans="1:63" s="65" customFormat="1" x14ac:dyDescent="0.4">
      <c r="A30" s="65" t="s">
        <v>3</v>
      </c>
      <c r="B30" s="70">
        <v>3.14</v>
      </c>
      <c r="C30" s="59">
        <v>6972.9</v>
      </c>
      <c r="D30" s="72">
        <f>C30/C32</f>
        <v>54.433255269320846</v>
      </c>
      <c r="E30" s="74">
        <f>(D31+0.0045)/0.0056</f>
        <v>3.0618517898962865</v>
      </c>
      <c r="F30" s="97">
        <f>(C31/(C30+C31))</f>
        <v>2.3227404896681065E-4</v>
      </c>
      <c r="G30" s="87"/>
      <c r="H30" s="87"/>
      <c r="I30" s="87"/>
      <c r="J30" s="59"/>
      <c r="K30" s="59"/>
      <c r="L30" s="89"/>
      <c r="M30" s="59"/>
      <c r="N30" s="139" t="s">
        <v>82</v>
      </c>
      <c r="O30" s="139">
        <v>1</v>
      </c>
      <c r="P30" s="140">
        <f>E114</f>
        <v>2.8480641656182089</v>
      </c>
      <c r="Q30" s="162"/>
      <c r="R30" s="164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89"/>
      <c r="AI30" s="59"/>
      <c r="AJ30" s="88"/>
      <c r="AK30" s="88"/>
      <c r="AL30" s="88"/>
      <c r="AM30" s="88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</row>
    <row r="31" spans="1:63" s="65" customFormat="1" x14ac:dyDescent="0.4">
      <c r="A31" s="65" t="s">
        <v>5</v>
      </c>
      <c r="B31" s="70">
        <v>4.83</v>
      </c>
      <c r="C31" s="59">
        <v>1.62</v>
      </c>
      <c r="D31" s="31">
        <f>C31/C32</f>
        <v>1.2646370023419205E-2</v>
      </c>
      <c r="E31" s="74"/>
      <c r="F31" s="72"/>
      <c r="G31" s="87"/>
      <c r="H31" s="87"/>
      <c r="I31" s="87"/>
      <c r="J31" s="59"/>
      <c r="K31" s="59"/>
      <c r="L31" s="59"/>
      <c r="M31" s="59"/>
      <c r="N31" s="139" t="s">
        <v>82</v>
      </c>
      <c r="O31" s="139">
        <v>1.5</v>
      </c>
      <c r="P31" s="140">
        <f>E119</f>
        <v>4.692396774562507</v>
      </c>
      <c r="Q31" s="162"/>
      <c r="R31" s="164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91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</row>
    <row r="32" spans="1:63" s="65" customFormat="1" ht="15" thickBot="1" x14ac:dyDescent="0.45">
      <c r="A32" s="65" t="s">
        <v>4</v>
      </c>
      <c r="B32" s="75">
        <v>6.2119999999999997</v>
      </c>
      <c r="C32" s="76">
        <v>128.1</v>
      </c>
      <c r="D32" s="76"/>
      <c r="E32" s="77"/>
      <c r="F32" s="100">
        <f>C32/(C30+C31+C32)</f>
        <v>1.8035598131393767E-2</v>
      </c>
      <c r="G32" s="87"/>
      <c r="H32" s="87"/>
      <c r="I32" s="87"/>
      <c r="J32" s="59"/>
      <c r="K32" s="59"/>
      <c r="L32" s="89"/>
      <c r="M32" s="59"/>
      <c r="N32" s="139" t="s">
        <v>82</v>
      </c>
      <c r="O32" s="139">
        <v>2</v>
      </c>
      <c r="P32" s="140">
        <f>E124</f>
        <v>5.590317587709241</v>
      </c>
      <c r="Q32" s="162"/>
      <c r="R32" s="164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89"/>
      <c r="AI32" s="59"/>
      <c r="AJ32" s="88"/>
      <c r="AK32" s="88"/>
      <c r="AL32" s="88"/>
      <c r="AM32" s="88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</row>
    <row r="33" spans="1:63" s="78" customFormat="1" ht="15" thickBot="1" x14ac:dyDescent="0.45">
      <c r="A33" s="1" t="s">
        <v>194</v>
      </c>
      <c r="F33" s="79"/>
      <c r="G33" s="87"/>
      <c r="H33" s="87"/>
      <c r="I33" s="87"/>
      <c r="J33" s="59"/>
      <c r="K33" s="59"/>
      <c r="L33" s="59"/>
      <c r="M33" s="59"/>
      <c r="N33" s="141" t="s">
        <v>404</v>
      </c>
      <c r="O33" s="141">
        <v>0.5</v>
      </c>
      <c r="P33" s="142">
        <f>E130</f>
        <v>2.6546167247386765</v>
      </c>
      <c r="Q33" s="163">
        <f t="shared" ref="Q33" si="1">(P36-P33)/1.5</f>
        <v>3.8478444496472064</v>
      </c>
      <c r="R33" s="163">
        <f>Q33/(0.25/1000)</f>
        <v>15391.377798588825</v>
      </c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</row>
    <row r="34" spans="1:63" x14ac:dyDescent="0.4">
      <c r="A34" t="s">
        <v>0</v>
      </c>
      <c r="B34" s="66" t="s">
        <v>2</v>
      </c>
      <c r="C34" s="67" t="s">
        <v>1</v>
      </c>
      <c r="D34" s="67" t="s">
        <v>113</v>
      </c>
      <c r="E34" s="11" t="s">
        <v>69</v>
      </c>
      <c r="F34" s="65" t="s">
        <v>180</v>
      </c>
      <c r="G34" s="21"/>
      <c r="H34" s="21"/>
      <c r="I34" s="21"/>
      <c r="J34" s="59"/>
      <c r="K34" s="59"/>
      <c r="L34" s="59"/>
      <c r="N34" s="141" t="s">
        <v>84</v>
      </c>
      <c r="O34" s="141">
        <v>1</v>
      </c>
      <c r="P34" s="142">
        <f>E135</f>
        <v>3.582289550891447</v>
      </c>
      <c r="Q34" s="163"/>
      <c r="R34" s="163"/>
      <c r="AF34" s="59"/>
      <c r="AG34" s="59"/>
      <c r="AH34" s="59"/>
    </row>
    <row r="35" spans="1:63" x14ac:dyDescent="0.4">
      <c r="A35" t="s">
        <v>3</v>
      </c>
      <c r="B35" s="18">
        <v>3.1</v>
      </c>
      <c r="C35" s="59">
        <v>6453.8</v>
      </c>
      <c r="D35" s="8">
        <f>C35/C37</f>
        <v>54.188077246011758</v>
      </c>
      <c r="E35" s="74">
        <f>(D36+0.0045)/0.0056</f>
        <v>4.746836391987526</v>
      </c>
      <c r="F35" s="97">
        <f>(C36/(C35+C36))</f>
        <v>4.0734585521720205E-4</v>
      </c>
      <c r="G35" s="21"/>
      <c r="H35" s="21"/>
      <c r="I35" s="21"/>
      <c r="M35" s="59"/>
      <c r="N35" s="141" t="s">
        <v>84</v>
      </c>
      <c r="O35" s="141">
        <v>1.5</v>
      </c>
      <c r="P35" s="142">
        <f>E140</f>
        <v>6.8342088273271511</v>
      </c>
      <c r="Q35" s="163"/>
      <c r="R35" s="163"/>
      <c r="AI35" s="59"/>
      <c r="AJ35" s="59"/>
    </row>
    <row r="36" spans="1:63" x14ac:dyDescent="0.4">
      <c r="A36" t="s">
        <v>5</v>
      </c>
      <c r="B36" s="18">
        <v>4.83</v>
      </c>
      <c r="C36" s="59">
        <v>2.63</v>
      </c>
      <c r="D36" s="32">
        <f>C36/C37</f>
        <v>2.2082283795130143E-2</v>
      </c>
      <c r="E36" s="13"/>
      <c r="F36" s="72"/>
      <c r="G36" s="21"/>
      <c r="H36" s="21"/>
      <c r="I36" s="21"/>
      <c r="N36" s="141" t="s">
        <v>84</v>
      </c>
      <c r="O36" s="141">
        <v>2</v>
      </c>
      <c r="P36" s="142">
        <f>E145</f>
        <v>8.4263833992094863</v>
      </c>
      <c r="Q36" s="163"/>
      <c r="R36" s="163"/>
    </row>
    <row r="37" spans="1:63" ht="15" thickBot="1" x14ac:dyDescent="0.45">
      <c r="A37" t="s">
        <v>4</v>
      </c>
      <c r="B37" s="20">
        <v>6.2119999999999997</v>
      </c>
      <c r="C37" s="16">
        <v>119.1</v>
      </c>
      <c r="D37" s="16"/>
      <c r="E37" s="24"/>
      <c r="F37" s="100">
        <f>C37/(C35+C36+C37)</f>
        <v>1.8112608413314208E-2</v>
      </c>
      <c r="G37" s="21"/>
      <c r="H37" s="21"/>
      <c r="I37" s="21"/>
      <c r="N37" s="103" t="s">
        <v>407</v>
      </c>
      <c r="O37" s="103">
        <v>0.5</v>
      </c>
      <c r="P37" s="104">
        <f>E151</f>
        <v>2.3982046629275264</v>
      </c>
      <c r="Q37" s="161">
        <f>(P40-P37)/1.5</f>
        <v>3.5627051566595918</v>
      </c>
      <c r="R37" s="159">
        <f>Q37/(1/1000)</f>
        <v>3562.7051566595915</v>
      </c>
    </row>
    <row r="38" spans="1:63" s="1" customFormat="1" ht="15" thickBot="1" x14ac:dyDescent="0.45">
      <c r="A38" s="1" t="s">
        <v>195</v>
      </c>
      <c r="F38" s="64"/>
      <c r="G38" s="21"/>
      <c r="H38" s="21"/>
      <c r="I38" s="21"/>
      <c r="J38" s="21"/>
      <c r="K38" s="21"/>
      <c r="L38" s="21"/>
      <c r="M38" s="21"/>
      <c r="N38" s="103" t="s">
        <v>86</v>
      </c>
      <c r="O38" s="103">
        <v>1</v>
      </c>
      <c r="P38" s="104">
        <f>E156</f>
        <v>3.4643568582811612</v>
      </c>
      <c r="Q38" s="161"/>
      <c r="R38" s="159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</row>
    <row r="39" spans="1:63" x14ac:dyDescent="0.4">
      <c r="A39" t="s">
        <v>0</v>
      </c>
      <c r="B39" s="66" t="s">
        <v>2</v>
      </c>
      <c r="C39" s="67" t="s">
        <v>1</v>
      </c>
      <c r="D39" s="67" t="s">
        <v>113</v>
      </c>
      <c r="E39" s="11" t="s">
        <v>69</v>
      </c>
      <c r="F39" s="65" t="s">
        <v>180</v>
      </c>
      <c r="G39" s="21"/>
      <c r="H39" s="21"/>
      <c r="I39" s="21"/>
      <c r="N39" s="103" t="s">
        <v>86</v>
      </c>
      <c r="O39" s="103">
        <v>1.5</v>
      </c>
      <c r="P39" s="104">
        <f>E161</f>
        <v>6.1457082833133256</v>
      </c>
      <c r="Q39" s="161"/>
      <c r="R39" s="159"/>
    </row>
    <row r="40" spans="1:63" x14ac:dyDescent="0.4">
      <c r="A40" t="s">
        <v>3</v>
      </c>
      <c r="B40" s="18">
        <v>3.1</v>
      </c>
      <c r="C40" s="59">
        <v>6577.8</v>
      </c>
      <c r="D40" s="8">
        <f>C40/C42</f>
        <v>54.497100248550126</v>
      </c>
      <c r="E40" s="74">
        <f>(D41+0.0045)/0.0056</f>
        <v>5.8781364658539479</v>
      </c>
      <c r="F40" s="97">
        <f>(C41/(C40+C41))</f>
        <v>5.2117917167459574E-4</v>
      </c>
      <c r="G40" s="21"/>
      <c r="H40" s="21"/>
      <c r="I40" s="21"/>
      <c r="N40" s="103" t="s">
        <v>86</v>
      </c>
      <c r="O40" s="103">
        <v>2</v>
      </c>
      <c r="P40" s="104">
        <f>E166</f>
        <v>7.7422623979169138</v>
      </c>
      <c r="Q40" s="161"/>
      <c r="R40" s="159"/>
    </row>
    <row r="41" spans="1:63" x14ac:dyDescent="0.4">
      <c r="A41" t="s">
        <v>5</v>
      </c>
      <c r="B41" s="18">
        <v>4.83</v>
      </c>
      <c r="C41" s="59">
        <v>3.43</v>
      </c>
      <c r="D41" s="32">
        <f>C41/C42</f>
        <v>2.8417564208782106E-2</v>
      </c>
      <c r="E41" s="13"/>
      <c r="F41" s="72"/>
      <c r="G41" s="21"/>
      <c r="H41" s="21"/>
      <c r="I41" s="21"/>
    </row>
    <row r="42" spans="1:63" ht="15" thickBot="1" x14ac:dyDescent="0.45">
      <c r="A42" t="s">
        <v>4</v>
      </c>
      <c r="B42" s="20">
        <v>6.2119999999999997</v>
      </c>
      <c r="C42" s="16">
        <v>120.7</v>
      </c>
      <c r="D42" s="16"/>
      <c r="E42" s="24"/>
      <c r="F42" s="100">
        <f>C42/(C40+C41+C42)</f>
        <v>1.8009737493527984E-2</v>
      </c>
    </row>
    <row r="43" spans="1:63" s="4" customFormat="1" x14ac:dyDescent="0.4">
      <c r="A43" s="4" t="s">
        <v>186</v>
      </c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</row>
    <row r="44" spans="1:63" s="1" customFormat="1" ht="15" thickBot="1" x14ac:dyDescent="0.45">
      <c r="A44" s="1" t="s">
        <v>416</v>
      </c>
      <c r="G44" s="60"/>
      <c r="H44" s="60"/>
      <c r="I44" s="60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</row>
    <row r="45" spans="1:63" s="65" customFormat="1" x14ac:dyDescent="0.4">
      <c r="A45" s="65" t="s">
        <v>0</v>
      </c>
      <c r="B45" s="66" t="s">
        <v>2</v>
      </c>
      <c r="C45" s="67" t="s">
        <v>1</v>
      </c>
      <c r="D45" s="67" t="s">
        <v>113</v>
      </c>
      <c r="E45" s="11" t="s">
        <v>69</v>
      </c>
      <c r="F45" s="65" t="s">
        <v>180</v>
      </c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</row>
    <row r="46" spans="1:63" s="65" customFormat="1" x14ac:dyDescent="0.4">
      <c r="A46" s="65" t="s">
        <v>3</v>
      </c>
      <c r="B46" s="70">
        <v>3.1</v>
      </c>
      <c r="C46" s="71">
        <v>6753.4</v>
      </c>
      <c r="D46" s="72">
        <f>C46/C48</f>
        <v>54.506860371267145</v>
      </c>
      <c r="E46" s="74">
        <f>(D47+0.0045)/0.0056</f>
        <v>1.9825175833045081</v>
      </c>
      <c r="F46" s="97">
        <f>(C47/(C46+C47))</f>
        <v>1.2110950520104622E-4</v>
      </c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</row>
    <row r="47" spans="1:63" s="65" customFormat="1" x14ac:dyDescent="0.4">
      <c r="A47" s="65" t="s">
        <v>5</v>
      </c>
      <c r="B47" s="70">
        <v>4.83</v>
      </c>
      <c r="C47" s="71">
        <v>0.81799999999999995</v>
      </c>
      <c r="D47" s="31">
        <f>C47/C48</f>
        <v>6.6020984665052457E-3</v>
      </c>
      <c r="E47" s="74"/>
      <c r="F47" s="72"/>
      <c r="G47" s="59"/>
      <c r="H47" s="59"/>
      <c r="I47" s="59"/>
      <c r="J47" s="59"/>
      <c r="K47" s="59"/>
      <c r="L47" s="8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8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</row>
    <row r="48" spans="1:63" s="65" customFormat="1" ht="15" thickBot="1" x14ac:dyDescent="0.45">
      <c r="A48" s="65" t="s">
        <v>4</v>
      </c>
      <c r="B48" s="75">
        <v>6.2119999999999997</v>
      </c>
      <c r="C48" s="76">
        <v>123.9</v>
      </c>
      <c r="D48" s="76"/>
      <c r="E48" s="77"/>
      <c r="F48" s="100">
        <f>C48/(C46+C47+C48)</f>
        <v>1.8013648500941684E-2</v>
      </c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</row>
    <row r="49" spans="1:63" s="78" customFormat="1" ht="15" thickBot="1" x14ac:dyDescent="0.45">
      <c r="A49" s="1" t="s">
        <v>196</v>
      </c>
      <c r="G49" s="87"/>
      <c r="H49" s="87"/>
      <c r="I49" s="87"/>
      <c r="J49" s="59"/>
      <c r="K49" s="59"/>
      <c r="L49" s="8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8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</row>
    <row r="50" spans="1:63" s="65" customFormat="1" x14ac:dyDescent="0.4">
      <c r="A50" s="65" t="s">
        <v>0</v>
      </c>
      <c r="B50" s="66" t="s">
        <v>2</v>
      </c>
      <c r="C50" s="67" t="s">
        <v>1</v>
      </c>
      <c r="D50" s="67" t="s">
        <v>113</v>
      </c>
      <c r="E50" s="11" t="s">
        <v>69</v>
      </c>
      <c r="F50" s="65" t="s">
        <v>180</v>
      </c>
      <c r="G50" s="87"/>
      <c r="H50" s="87"/>
      <c r="I50" s="87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</row>
    <row r="51" spans="1:63" s="65" customFormat="1" x14ac:dyDescent="0.4">
      <c r="A51" s="65" t="s">
        <v>3</v>
      </c>
      <c r="B51" s="70">
        <v>3.14</v>
      </c>
      <c r="C51" s="59">
        <v>6691.3</v>
      </c>
      <c r="D51" s="72">
        <f>C51/C53</f>
        <v>54.180566801619435</v>
      </c>
      <c r="E51" s="74">
        <f>(D52+0.0045)/0.0056</f>
        <v>4.6208068247541938</v>
      </c>
      <c r="F51" s="97">
        <f>(C52/(C51+C52))</f>
        <v>3.9438656456436714E-4</v>
      </c>
      <c r="G51" s="87"/>
      <c r="H51" s="87"/>
      <c r="I51" s="87"/>
      <c r="J51" s="59"/>
      <c r="K51" s="59"/>
      <c r="L51" s="89"/>
      <c r="M51" s="59"/>
      <c r="N51" s="88"/>
      <c r="O51" s="88"/>
      <c r="P51" s="88"/>
      <c r="Q51" s="88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89"/>
      <c r="AI51" s="59"/>
      <c r="AJ51" s="88"/>
      <c r="AK51" s="88"/>
      <c r="AL51" s="88"/>
      <c r="AM51" s="88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</row>
    <row r="52" spans="1:63" s="65" customFormat="1" x14ac:dyDescent="0.4">
      <c r="A52" s="65" t="s">
        <v>5</v>
      </c>
      <c r="B52" s="70">
        <v>4.83</v>
      </c>
      <c r="C52" s="59">
        <v>2.64</v>
      </c>
      <c r="D52" s="31">
        <f>C52/C53</f>
        <v>2.1376518218623485E-2</v>
      </c>
      <c r="E52" s="74"/>
      <c r="F52" s="72"/>
      <c r="G52" s="87"/>
      <c r="H52" s="87"/>
      <c r="I52" s="87"/>
      <c r="J52" s="59"/>
      <c r="K52" s="59"/>
      <c r="L52" s="59"/>
      <c r="M52" s="59"/>
      <c r="N52" s="91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91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  <c r="AY52" s="59"/>
      <c r="AZ52" s="59"/>
      <c r="BA52" s="59"/>
      <c r="BB52" s="59"/>
      <c r="BC52" s="59"/>
      <c r="BD52" s="59"/>
      <c r="BE52" s="59"/>
      <c r="BF52" s="59"/>
      <c r="BG52" s="59"/>
      <c r="BH52" s="59"/>
      <c r="BI52" s="59"/>
      <c r="BJ52" s="59"/>
      <c r="BK52" s="59"/>
    </row>
    <row r="53" spans="1:63" s="65" customFormat="1" ht="15" thickBot="1" x14ac:dyDescent="0.45">
      <c r="A53" s="65" t="s">
        <v>4</v>
      </c>
      <c r="B53" s="75">
        <v>6.2119999999999997</v>
      </c>
      <c r="C53" s="76">
        <v>123.5</v>
      </c>
      <c r="D53" s="76"/>
      <c r="E53" s="77"/>
      <c r="F53" s="100">
        <f>C53/(C51+C52+C53)</f>
        <v>1.8115304278438826E-2</v>
      </c>
      <c r="G53" s="87"/>
      <c r="H53" s="87"/>
      <c r="I53" s="87"/>
      <c r="J53" s="59"/>
      <c r="K53" s="59"/>
      <c r="L53" s="89"/>
      <c r="M53" s="59"/>
      <c r="N53" s="88"/>
      <c r="O53" s="88"/>
      <c r="P53" s="88"/>
      <c r="Q53" s="88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89"/>
      <c r="AI53" s="59"/>
      <c r="AJ53" s="88"/>
      <c r="AK53" s="88"/>
      <c r="AL53" s="88"/>
      <c r="AM53" s="88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59"/>
      <c r="BF53" s="59"/>
      <c r="BG53" s="59"/>
      <c r="BH53" s="59"/>
      <c r="BI53" s="59"/>
      <c r="BJ53" s="59"/>
      <c r="BK53" s="59"/>
    </row>
    <row r="54" spans="1:63" s="78" customFormat="1" ht="15" thickBot="1" x14ac:dyDescent="0.45">
      <c r="A54" s="1" t="s">
        <v>197</v>
      </c>
      <c r="F54" s="79"/>
      <c r="G54" s="87"/>
      <c r="H54" s="87"/>
      <c r="I54" s="87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</row>
    <row r="55" spans="1:63" x14ac:dyDescent="0.4">
      <c r="A55" t="s">
        <v>0</v>
      </c>
      <c r="B55" s="66" t="s">
        <v>2</v>
      </c>
      <c r="C55" s="67" t="s">
        <v>1</v>
      </c>
      <c r="D55" s="67" t="s">
        <v>113</v>
      </c>
      <c r="E55" s="11" t="s">
        <v>69</v>
      </c>
      <c r="F55" s="65" t="s">
        <v>180</v>
      </c>
      <c r="G55" s="21"/>
      <c r="H55" s="21"/>
      <c r="I55" s="21"/>
      <c r="J55" s="59"/>
      <c r="K55" s="59"/>
      <c r="L55" s="59"/>
      <c r="AF55" s="59"/>
      <c r="AG55" s="59"/>
      <c r="AH55" s="59"/>
    </row>
    <row r="56" spans="1:63" x14ac:dyDescent="0.4">
      <c r="A56" t="s">
        <v>3</v>
      </c>
      <c r="B56" s="18">
        <v>3.1</v>
      </c>
      <c r="C56" s="59">
        <v>6543.1</v>
      </c>
      <c r="D56" s="8">
        <f>C56/C58</f>
        <v>54.119933829611249</v>
      </c>
      <c r="E56" s="74">
        <f>(D57+0.0045)/0.0056</f>
        <v>7.4058401276143204</v>
      </c>
      <c r="F56" s="97">
        <f>(C57/(C56+C57))</f>
        <v>6.8269602310475476E-4</v>
      </c>
      <c r="G56" s="21"/>
      <c r="H56" s="21"/>
      <c r="I56" s="21"/>
      <c r="M56" s="59"/>
      <c r="N56" s="59"/>
      <c r="AI56" s="59"/>
      <c r="AJ56" s="59"/>
    </row>
    <row r="57" spans="1:63" x14ac:dyDescent="0.4">
      <c r="A57" t="s">
        <v>5</v>
      </c>
      <c r="B57" s="18">
        <v>4.83</v>
      </c>
      <c r="C57" s="59">
        <v>4.47</v>
      </c>
      <c r="D57" s="32">
        <f>C57/C58</f>
        <v>3.6972704714640196E-2</v>
      </c>
      <c r="E57" s="13"/>
      <c r="F57" s="72"/>
      <c r="G57" s="21"/>
      <c r="H57" s="21"/>
      <c r="I57" s="21"/>
    </row>
    <row r="58" spans="1:63" ht="15" thickBot="1" x14ac:dyDescent="0.45">
      <c r="A58" t="s">
        <v>4</v>
      </c>
      <c r="B58" s="20">
        <v>6.2119999999999997</v>
      </c>
      <c r="C58" s="16">
        <v>120.9</v>
      </c>
      <c r="D58" s="16"/>
      <c r="E58" s="24"/>
      <c r="F58" s="100">
        <f>C58/(C56+C57+C58)</f>
        <v>1.8130095809083643E-2</v>
      </c>
      <c r="G58" s="21"/>
      <c r="H58" s="21"/>
      <c r="I58" s="21"/>
    </row>
    <row r="59" spans="1:63" s="1" customFormat="1" ht="15" thickBot="1" x14ac:dyDescent="0.45">
      <c r="A59" s="1" t="s">
        <v>198</v>
      </c>
      <c r="F59" s="64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</row>
    <row r="60" spans="1:63" x14ac:dyDescent="0.4">
      <c r="A60" t="s">
        <v>0</v>
      </c>
      <c r="B60" s="66" t="s">
        <v>2</v>
      </c>
      <c r="C60" s="67" t="s">
        <v>1</v>
      </c>
      <c r="D60" s="67" t="s">
        <v>113</v>
      </c>
      <c r="E60" s="11" t="s">
        <v>69</v>
      </c>
      <c r="F60" s="65" t="s">
        <v>180</v>
      </c>
      <c r="G60" s="21"/>
      <c r="H60" s="21"/>
      <c r="I60" s="21"/>
    </row>
    <row r="61" spans="1:63" x14ac:dyDescent="0.4">
      <c r="A61" t="s">
        <v>3</v>
      </c>
      <c r="B61" s="18">
        <v>3.1</v>
      </c>
      <c r="C61" s="59">
        <v>6710.2</v>
      </c>
      <c r="D61" s="8">
        <f>C61/C63</f>
        <v>54.421735604217353</v>
      </c>
      <c r="E61" s="74">
        <f>(D62+0.0045)/0.0056</f>
        <v>9.8842109836635377</v>
      </c>
      <c r="F61" s="97">
        <f>(C62/(C61+C62))</f>
        <v>9.3352609331985397E-4</v>
      </c>
      <c r="G61" s="21"/>
      <c r="H61" s="21"/>
      <c r="I61" s="21"/>
    </row>
    <row r="62" spans="1:63" x14ac:dyDescent="0.4">
      <c r="A62" t="s">
        <v>5</v>
      </c>
      <c r="B62" s="18">
        <v>4.83</v>
      </c>
      <c r="C62" s="59">
        <v>6.27</v>
      </c>
      <c r="D62" s="32">
        <f>C62/C63</f>
        <v>5.0851581508515813E-2</v>
      </c>
      <c r="E62" s="13"/>
      <c r="F62" s="72"/>
      <c r="G62" s="21"/>
      <c r="H62" s="21"/>
      <c r="I62" s="21"/>
    </row>
    <row r="63" spans="1:63" ht="15" thickBot="1" x14ac:dyDescent="0.45">
      <c r="A63" t="s">
        <v>4</v>
      </c>
      <c r="B63" s="20">
        <v>6.2119999999999997</v>
      </c>
      <c r="C63" s="16">
        <v>123.3</v>
      </c>
      <c r="D63" s="16"/>
      <c r="E63" s="24"/>
      <c r="F63" s="100">
        <f>C63/(C61+C62+C63)</f>
        <v>1.8026921957902092E-2</v>
      </c>
    </row>
    <row r="64" spans="1:63" s="4" customFormat="1" x14ac:dyDescent="0.4">
      <c r="A64" s="4" t="s">
        <v>186</v>
      </c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</row>
    <row r="65" spans="1:63" s="1" customFormat="1" ht="15" thickBot="1" x14ac:dyDescent="0.45">
      <c r="A65" s="1" t="s">
        <v>199</v>
      </c>
      <c r="G65" s="60"/>
      <c r="H65" s="60"/>
      <c r="I65" s="60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  <c r="BI65" s="21"/>
      <c r="BJ65" s="21"/>
      <c r="BK65" s="21"/>
    </row>
    <row r="66" spans="1:63" s="65" customFormat="1" x14ac:dyDescent="0.4">
      <c r="A66" s="65" t="s">
        <v>0</v>
      </c>
      <c r="B66" s="66" t="s">
        <v>2</v>
      </c>
      <c r="C66" s="67" t="s">
        <v>1</v>
      </c>
      <c r="D66" s="67" t="s">
        <v>113</v>
      </c>
      <c r="E66" s="11" t="s">
        <v>69</v>
      </c>
      <c r="F66" s="65" t="s">
        <v>180</v>
      </c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</row>
    <row r="67" spans="1:63" s="65" customFormat="1" x14ac:dyDescent="0.4">
      <c r="A67" s="65" t="s">
        <v>3</v>
      </c>
      <c r="B67" s="70">
        <v>3.1</v>
      </c>
      <c r="C67" s="71">
        <v>6878.4</v>
      </c>
      <c r="D67" s="72">
        <f>C67/C69</f>
        <v>53.486780715396577</v>
      </c>
      <c r="E67" s="74">
        <f>(D68+0.0045)/0.0056</f>
        <v>2.0324650077760498</v>
      </c>
      <c r="F67" s="97">
        <f>(C68/(C67+C68))</f>
        <v>1.2864709050431841E-4</v>
      </c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59"/>
      <c r="BA67" s="59"/>
      <c r="BB67" s="59"/>
      <c r="BC67" s="59"/>
      <c r="BD67" s="59"/>
      <c r="BE67" s="59"/>
      <c r="BF67" s="59"/>
      <c r="BG67" s="59"/>
      <c r="BH67" s="59"/>
      <c r="BI67" s="59"/>
      <c r="BJ67" s="59"/>
      <c r="BK67" s="59"/>
    </row>
    <row r="68" spans="1:63" s="65" customFormat="1" x14ac:dyDescent="0.4">
      <c r="A68" s="65" t="s">
        <v>5</v>
      </c>
      <c r="B68" s="70">
        <v>4.83</v>
      </c>
      <c r="C68" s="71">
        <v>0.88500000000000001</v>
      </c>
      <c r="D68" s="31">
        <f>C68/C69</f>
        <v>6.8818040435458788E-3</v>
      </c>
      <c r="E68" s="74"/>
      <c r="F68" s="72"/>
      <c r="G68" s="59"/>
      <c r="H68" s="59"/>
      <c r="I68" s="59"/>
      <c r="J68" s="59"/>
      <c r="K68" s="59"/>
      <c r="L68" s="8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8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</row>
    <row r="69" spans="1:63" s="65" customFormat="1" ht="15" thickBot="1" x14ac:dyDescent="0.45">
      <c r="A69" s="65" t="s">
        <v>4</v>
      </c>
      <c r="B69" s="75">
        <v>6.2119999999999997</v>
      </c>
      <c r="C69" s="76">
        <v>128.6</v>
      </c>
      <c r="D69" s="76"/>
      <c r="E69" s="77"/>
      <c r="F69" s="100">
        <f>C69/(C67+C68+C69)</f>
        <v>1.8350757753587566E-2</v>
      </c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  <c r="AY69" s="59"/>
      <c r="AZ69" s="59"/>
      <c r="BA69" s="59"/>
      <c r="BB69" s="59"/>
      <c r="BC69" s="59"/>
      <c r="BD69" s="59"/>
      <c r="BE69" s="59"/>
      <c r="BF69" s="59"/>
      <c r="BG69" s="59"/>
      <c r="BH69" s="59"/>
      <c r="BI69" s="59"/>
      <c r="BJ69" s="59"/>
      <c r="BK69" s="59"/>
    </row>
    <row r="70" spans="1:63" s="78" customFormat="1" ht="15" thickBot="1" x14ac:dyDescent="0.45">
      <c r="A70" s="1" t="s">
        <v>200</v>
      </c>
      <c r="G70" s="87"/>
      <c r="H70" s="87"/>
      <c r="I70" s="87"/>
      <c r="J70" s="59"/>
      <c r="K70" s="59"/>
      <c r="L70" s="8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8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</row>
    <row r="71" spans="1:63" s="65" customFormat="1" x14ac:dyDescent="0.4">
      <c r="A71" s="65" t="s">
        <v>0</v>
      </c>
      <c r="B71" s="66" t="s">
        <v>2</v>
      </c>
      <c r="C71" s="67" t="s">
        <v>1</v>
      </c>
      <c r="D71" s="67" t="s">
        <v>113</v>
      </c>
      <c r="E71" s="11" t="s">
        <v>69</v>
      </c>
      <c r="F71" s="65" t="s">
        <v>180</v>
      </c>
      <c r="G71" s="87"/>
      <c r="H71" s="87"/>
      <c r="I71" s="87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  <c r="AY71" s="59"/>
      <c r="AZ71" s="59"/>
      <c r="BA71" s="59"/>
      <c r="BB71" s="59"/>
      <c r="BC71" s="59"/>
      <c r="BD71" s="59"/>
      <c r="BE71" s="59"/>
      <c r="BF71" s="59"/>
      <c r="BG71" s="59"/>
      <c r="BH71" s="59"/>
      <c r="BI71" s="59"/>
      <c r="BJ71" s="59"/>
      <c r="BK71" s="59"/>
    </row>
    <row r="72" spans="1:63" s="65" customFormat="1" x14ac:dyDescent="0.4">
      <c r="A72" s="65" t="s">
        <v>3</v>
      </c>
      <c r="B72" s="70">
        <v>3.14</v>
      </c>
      <c r="C72" s="59">
        <v>6743.1</v>
      </c>
      <c r="D72" s="72">
        <f>C72/C74</f>
        <v>54.292270531400966</v>
      </c>
      <c r="E72" s="74">
        <f>(D73+0.0045)/0.0056</f>
        <v>3.9091614906832302</v>
      </c>
      <c r="F72" s="97">
        <f>(C73/(C72+C73))</f>
        <v>3.2022486901913343E-4</v>
      </c>
      <c r="G72" s="87"/>
      <c r="H72" s="87"/>
      <c r="I72" s="87"/>
      <c r="J72" s="59"/>
      <c r="K72" s="59"/>
      <c r="L72" s="89"/>
      <c r="M72" s="59"/>
      <c r="N72" s="88"/>
      <c r="O72" s="88"/>
      <c r="P72" s="88"/>
      <c r="Q72" s="88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89"/>
      <c r="AI72" s="59"/>
      <c r="AJ72" s="88"/>
      <c r="AK72" s="88"/>
      <c r="AL72" s="88"/>
      <c r="AM72" s="88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</row>
    <row r="73" spans="1:63" s="65" customFormat="1" x14ac:dyDescent="0.4">
      <c r="A73" s="65" t="s">
        <v>5</v>
      </c>
      <c r="B73" s="70">
        <v>4.83</v>
      </c>
      <c r="C73" s="59">
        <v>2.16</v>
      </c>
      <c r="D73" s="31">
        <f>C73/C74</f>
        <v>1.7391304347826087E-2</v>
      </c>
      <c r="E73" s="74"/>
      <c r="F73" s="72"/>
      <c r="G73" s="87"/>
      <c r="H73" s="87"/>
      <c r="I73" s="87"/>
      <c r="J73" s="59"/>
      <c r="K73" s="59"/>
      <c r="L73" s="59"/>
      <c r="M73" s="59"/>
      <c r="N73" s="91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91"/>
      <c r="AK73" s="59"/>
      <c r="AL73" s="59"/>
      <c r="AM73" s="59"/>
      <c r="AN73" s="59"/>
      <c r="AO73" s="59"/>
      <c r="AP73" s="59"/>
      <c r="AQ73" s="59"/>
      <c r="AR73" s="59"/>
      <c r="AS73" s="59"/>
      <c r="AT73" s="59"/>
      <c r="AU73" s="59"/>
      <c r="AV73" s="59"/>
      <c r="AW73" s="59"/>
      <c r="AX73" s="59"/>
      <c r="AY73" s="59"/>
      <c r="AZ73" s="59"/>
      <c r="BA73" s="59"/>
      <c r="BB73" s="59"/>
      <c r="BC73" s="59"/>
      <c r="BD73" s="59"/>
      <c r="BE73" s="59"/>
      <c r="BF73" s="59"/>
      <c r="BG73" s="59"/>
      <c r="BH73" s="59"/>
      <c r="BI73" s="59"/>
      <c r="BJ73" s="59"/>
      <c r="BK73" s="59"/>
    </row>
    <row r="74" spans="1:63" s="65" customFormat="1" ht="15" thickBot="1" x14ac:dyDescent="0.45">
      <c r="A74" s="65" t="s">
        <v>4</v>
      </c>
      <c r="B74" s="75">
        <v>6.2119999999999997</v>
      </c>
      <c r="C74" s="76">
        <v>124.2</v>
      </c>
      <c r="D74" s="76"/>
      <c r="E74" s="77"/>
      <c r="F74" s="100">
        <f>C74/(C72+C73+C74)</f>
        <v>1.8080023757325904E-2</v>
      </c>
      <c r="G74" s="87"/>
      <c r="H74" s="87"/>
      <c r="I74" s="87"/>
      <c r="J74" s="59"/>
      <c r="K74" s="59"/>
      <c r="L74" s="89"/>
      <c r="M74" s="59"/>
      <c r="N74" s="88"/>
      <c r="O74" s="88"/>
      <c r="P74" s="88"/>
      <c r="Q74" s="88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89"/>
      <c r="AI74" s="59"/>
      <c r="AJ74" s="88"/>
      <c r="AK74" s="88"/>
      <c r="AL74" s="88"/>
      <c r="AM74" s="88"/>
      <c r="AN74" s="5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</row>
    <row r="75" spans="1:63" s="78" customFormat="1" ht="15" thickBot="1" x14ac:dyDescent="0.45">
      <c r="A75" s="1" t="s">
        <v>201</v>
      </c>
      <c r="F75" s="79"/>
      <c r="G75" s="87"/>
      <c r="H75" s="87"/>
      <c r="I75" s="87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59"/>
      <c r="AR75" s="59"/>
      <c r="AS75" s="59"/>
      <c r="AT75" s="59"/>
      <c r="AU75" s="59"/>
      <c r="AV75" s="59"/>
      <c r="AW75" s="59"/>
      <c r="AX75" s="59"/>
      <c r="AY75" s="59"/>
      <c r="AZ75" s="59"/>
      <c r="BA75" s="59"/>
      <c r="BB75" s="59"/>
      <c r="BC75" s="59"/>
      <c r="BD75" s="59"/>
      <c r="BE75" s="59"/>
      <c r="BF75" s="59"/>
      <c r="BG75" s="59"/>
      <c r="BH75" s="59"/>
      <c r="BI75" s="59"/>
      <c r="BJ75" s="59"/>
      <c r="BK75" s="59"/>
    </row>
    <row r="76" spans="1:63" x14ac:dyDescent="0.4">
      <c r="A76" t="s">
        <v>0</v>
      </c>
      <c r="B76" s="66" t="s">
        <v>2</v>
      </c>
      <c r="C76" s="67" t="s">
        <v>1</v>
      </c>
      <c r="D76" s="67" t="s">
        <v>113</v>
      </c>
      <c r="E76" s="11" t="s">
        <v>69</v>
      </c>
      <c r="F76" s="65" t="s">
        <v>180</v>
      </c>
      <c r="G76" s="21"/>
      <c r="H76" s="21"/>
      <c r="I76" s="21"/>
      <c r="J76" s="59"/>
      <c r="K76" s="59"/>
      <c r="L76" s="59"/>
      <c r="AF76" s="59"/>
      <c r="AG76" s="59"/>
      <c r="AH76" s="59"/>
    </row>
    <row r="77" spans="1:63" x14ac:dyDescent="0.4">
      <c r="A77" t="s">
        <v>3</v>
      </c>
      <c r="B77" s="18">
        <v>3.1</v>
      </c>
      <c r="C77" s="59">
        <v>6550</v>
      </c>
      <c r="D77" s="8">
        <f>C77/C79</f>
        <v>54.447215295095596</v>
      </c>
      <c r="E77" s="74">
        <f>(D78+0.0045)/0.0056</f>
        <v>6.1770425127657056</v>
      </c>
      <c r="F77" s="97">
        <f>(C78/(C77+C78))</f>
        <v>5.5236647837378426E-4</v>
      </c>
      <c r="G77" s="21"/>
      <c r="H77" s="21"/>
      <c r="I77" s="21"/>
      <c r="M77" s="59"/>
      <c r="N77" s="59"/>
      <c r="AI77" s="59"/>
      <c r="AJ77" s="59"/>
    </row>
    <row r="78" spans="1:63" x14ac:dyDescent="0.4">
      <c r="A78" t="s">
        <v>5</v>
      </c>
      <c r="B78" s="18">
        <v>4.83</v>
      </c>
      <c r="C78" s="59">
        <v>3.62</v>
      </c>
      <c r="D78" s="32">
        <f>C78/C79</f>
        <v>3.0091438071487949E-2</v>
      </c>
      <c r="E78" s="13"/>
      <c r="F78" s="72"/>
      <c r="G78" s="21"/>
      <c r="H78" s="21"/>
      <c r="I78" s="21"/>
    </row>
    <row r="79" spans="1:63" ht="15" thickBot="1" x14ac:dyDescent="0.45">
      <c r="A79" t="s">
        <v>4</v>
      </c>
      <c r="B79" s="20">
        <v>6.2119999999999997</v>
      </c>
      <c r="C79" s="16">
        <v>120.3</v>
      </c>
      <c r="D79" s="16"/>
      <c r="E79" s="24"/>
      <c r="F79" s="100">
        <f>C79/(C77+C78+C79)</f>
        <v>1.8025388377445339E-2</v>
      </c>
      <c r="G79" s="21"/>
      <c r="H79" s="21"/>
      <c r="I79" s="21"/>
    </row>
    <row r="80" spans="1:63" s="1" customFormat="1" ht="15" thickBot="1" x14ac:dyDescent="0.45">
      <c r="A80" s="1" t="s">
        <v>202</v>
      </c>
      <c r="F80" s="64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21"/>
      <c r="BG80" s="21"/>
      <c r="BH80" s="21"/>
      <c r="BI80" s="21"/>
      <c r="BJ80" s="21"/>
      <c r="BK80" s="21"/>
    </row>
    <row r="81" spans="1:63" x14ac:dyDescent="0.4">
      <c r="A81" t="s">
        <v>0</v>
      </c>
      <c r="B81" s="66" t="s">
        <v>2</v>
      </c>
      <c r="C81" s="67" t="s">
        <v>1</v>
      </c>
      <c r="D81" s="67" t="s">
        <v>113</v>
      </c>
      <c r="E81" s="11" t="s">
        <v>69</v>
      </c>
      <c r="F81" s="65" t="s">
        <v>180</v>
      </c>
      <c r="G81" s="21"/>
      <c r="H81" s="21"/>
      <c r="I81" s="21"/>
    </row>
    <row r="82" spans="1:63" x14ac:dyDescent="0.4">
      <c r="A82" t="s">
        <v>3</v>
      </c>
      <c r="B82" s="18">
        <v>3.1</v>
      </c>
      <c r="C82" s="59">
        <v>6502.7</v>
      </c>
      <c r="D82" s="8">
        <f>C82/C84</f>
        <v>54.507124895222127</v>
      </c>
      <c r="E82" s="74">
        <f>(D83+0.0045)/0.0056</f>
        <v>8.3026733325350257</v>
      </c>
      <c r="F82" s="97">
        <f>(C83/(C82+C83))</f>
        <v>7.6985606303907209E-4</v>
      </c>
      <c r="G82" s="21"/>
      <c r="H82" s="21"/>
      <c r="I82" s="21"/>
    </row>
    <row r="83" spans="1:63" x14ac:dyDescent="0.4">
      <c r="A83" t="s">
        <v>5</v>
      </c>
      <c r="B83" s="18">
        <v>4.83</v>
      </c>
      <c r="C83" s="59">
        <v>5.01</v>
      </c>
      <c r="D83" s="32">
        <f>C83/C84</f>
        <v>4.1994970662196145E-2</v>
      </c>
      <c r="E83" s="13"/>
      <c r="F83" s="72"/>
      <c r="G83" s="21"/>
      <c r="H83" s="21"/>
      <c r="I83" s="21"/>
    </row>
    <row r="84" spans="1:63" ht="15" thickBot="1" x14ac:dyDescent="0.45">
      <c r="A84" t="s">
        <v>4</v>
      </c>
      <c r="B84" s="20">
        <v>6.2119999999999997</v>
      </c>
      <c r="C84" s="16">
        <v>119.3</v>
      </c>
      <c r="D84" s="16"/>
      <c r="E84" s="24"/>
      <c r="F84" s="100">
        <f>C84/(C82+C83+C84)</f>
        <v>1.8002085405031832E-2</v>
      </c>
    </row>
    <row r="85" spans="1:63" s="4" customFormat="1" x14ac:dyDescent="0.4">
      <c r="A85" s="4" t="s">
        <v>186</v>
      </c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</row>
    <row r="86" spans="1:63" s="1" customFormat="1" ht="15" thickBot="1" x14ac:dyDescent="0.45">
      <c r="A86" s="1" t="s">
        <v>204</v>
      </c>
      <c r="G86" s="60"/>
      <c r="H86" s="60"/>
      <c r="I86" s="60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</row>
    <row r="87" spans="1:63" s="65" customFormat="1" x14ac:dyDescent="0.4">
      <c r="A87" s="65" t="s">
        <v>0</v>
      </c>
      <c r="B87" s="66" t="s">
        <v>2</v>
      </c>
      <c r="C87" s="67" t="s">
        <v>1</v>
      </c>
      <c r="D87" s="67" t="s">
        <v>113</v>
      </c>
      <c r="E87" s="11" t="s">
        <v>69</v>
      </c>
      <c r="F87" s="65" t="s">
        <v>180</v>
      </c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59"/>
      <c r="AR87" s="59"/>
      <c r="AS87" s="59"/>
      <c r="AT87" s="59"/>
      <c r="AU87" s="59"/>
      <c r="AV87" s="59"/>
      <c r="AW87" s="59"/>
      <c r="AX87" s="59"/>
      <c r="AY87" s="59"/>
      <c r="AZ87" s="59"/>
      <c r="BA87" s="59"/>
      <c r="BB87" s="59"/>
      <c r="BC87" s="59"/>
      <c r="BD87" s="59"/>
      <c r="BE87" s="59"/>
      <c r="BF87" s="59"/>
      <c r="BG87" s="59"/>
      <c r="BH87" s="59"/>
      <c r="BI87" s="59"/>
      <c r="BJ87" s="59"/>
      <c r="BK87" s="59"/>
    </row>
    <row r="88" spans="1:63" s="65" customFormat="1" x14ac:dyDescent="0.4">
      <c r="A88" s="65" t="s">
        <v>3</v>
      </c>
      <c r="B88" s="70">
        <v>3.1</v>
      </c>
      <c r="C88" s="71">
        <v>6854.8</v>
      </c>
      <c r="D88" s="72">
        <f>C88/C90</f>
        <v>54.017336485421588</v>
      </c>
      <c r="E88" s="74">
        <f>(D89+0.0045)/0.0056</f>
        <v>3.1957812675897781</v>
      </c>
      <c r="F88" s="97">
        <f>(C89/(C88+C89))</f>
        <v>2.4793991103332601E-4</v>
      </c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N88" s="59"/>
      <c r="AO88" s="59"/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  <c r="BH88" s="59"/>
      <c r="BI88" s="59"/>
      <c r="BJ88" s="59"/>
      <c r="BK88" s="59"/>
    </row>
    <row r="89" spans="1:63" s="65" customFormat="1" x14ac:dyDescent="0.4">
      <c r="A89" s="65" t="s">
        <v>5</v>
      </c>
      <c r="B89" s="70">
        <v>4.83</v>
      </c>
      <c r="C89" s="71">
        <v>1.7</v>
      </c>
      <c r="D89" s="31">
        <f>C89/C90</f>
        <v>1.3396375098502757E-2</v>
      </c>
      <c r="E89" s="74"/>
      <c r="F89" s="72"/>
      <c r="G89" s="59"/>
      <c r="H89" s="59"/>
      <c r="I89" s="59"/>
      <c r="J89" s="59"/>
      <c r="K89" s="59"/>
      <c r="L89" s="8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  <c r="AH89" s="89"/>
      <c r="AI89" s="59"/>
      <c r="AJ89" s="59"/>
      <c r="AK89" s="59"/>
      <c r="AL89" s="59"/>
      <c r="AM89" s="59"/>
      <c r="AN89" s="59"/>
      <c r="AO89" s="59"/>
      <c r="AP89" s="59"/>
      <c r="AQ89" s="59"/>
      <c r="AR89" s="59"/>
      <c r="AS89" s="59"/>
      <c r="AT89" s="59"/>
      <c r="AU89" s="59"/>
      <c r="AV89" s="59"/>
      <c r="AW89" s="59"/>
      <c r="AX89" s="59"/>
      <c r="AY89" s="59"/>
      <c r="AZ89" s="59"/>
      <c r="BA89" s="59"/>
      <c r="BB89" s="59"/>
      <c r="BC89" s="59"/>
      <c r="BD89" s="59"/>
      <c r="BE89" s="59"/>
      <c r="BF89" s="59"/>
      <c r="BG89" s="59"/>
      <c r="BH89" s="59"/>
      <c r="BI89" s="59"/>
      <c r="BJ89" s="59"/>
      <c r="BK89" s="59"/>
    </row>
    <row r="90" spans="1:63" s="65" customFormat="1" ht="15" thickBot="1" x14ac:dyDescent="0.45">
      <c r="A90" s="65" t="s">
        <v>4</v>
      </c>
      <c r="B90" s="75">
        <v>6.2119999999999997</v>
      </c>
      <c r="C90" s="76">
        <v>126.9</v>
      </c>
      <c r="D90" s="76"/>
      <c r="E90" s="77"/>
      <c r="F90" s="100">
        <f>C90/(C88+C89+C90)</f>
        <v>1.8171664232322367E-2</v>
      </c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  <c r="BH90" s="59"/>
      <c r="BI90" s="59"/>
      <c r="BJ90" s="59"/>
      <c r="BK90" s="59"/>
    </row>
    <row r="91" spans="1:63" s="78" customFormat="1" ht="15" thickBot="1" x14ac:dyDescent="0.45">
      <c r="A91" s="1" t="s">
        <v>205</v>
      </c>
      <c r="G91" s="87"/>
      <c r="H91" s="87"/>
      <c r="I91" s="87"/>
      <c r="J91" s="59"/>
      <c r="K91" s="59"/>
      <c r="L91" s="8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89"/>
      <c r="AI91" s="59"/>
      <c r="AJ91" s="59"/>
      <c r="AK91" s="59"/>
      <c r="AL91" s="59"/>
      <c r="AM91" s="59"/>
      <c r="AN91" s="59"/>
      <c r="AO91" s="59"/>
      <c r="AP91" s="59"/>
      <c r="AQ91" s="59"/>
      <c r="AR91" s="59"/>
      <c r="AS91" s="59"/>
      <c r="AT91" s="59"/>
      <c r="AU91" s="59"/>
      <c r="AV91" s="59"/>
      <c r="AW91" s="59"/>
      <c r="AX91" s="59"/>
      <c r="AY91" s="59"/>
      <c r="AZ91" s="59"/>
      <c r="BA91" s="59"/>
      <c r="BB91" s="59"/>
      <c r="BC91" s="59"/>
      <c r="BD91" s="59"/>
      <c r="BE91" s="59"/>
      <c r="BF91" s="59"/>
      <c r="BG91" s="59"/>
      <c r="BH91" s="59"/>
      <c r="BI91" s="59"/>
      <c r="BJ91" s="59"/>
      <c r="BK91" s="59"/>
    </row>
    <row r="92" spans="1:63" s="65" customFormat="1" x14ac:dyDescent="0.4">
      <c r="A92" s="65" t="s">
        <v>0</v>
      </c>
      <c r="B92" s="66" t="s">
        <v>2</v>
      </c>
      <c r="C92" s="67" t="s">
        <v>1</v>
      </c>
      <c r="D92" s="67" t="s">
        <v>113</v>
      </c>
      <c r="E92" s="11" t="s">
        <v>69</v>
      </c>
      <c r="F92" s="65" t="s">
        <v>180</v>
      </c>
      <c r="G92" s="87"/>
      <c r="H92" s="87"/>
      <c r="I92" s="87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59"/>
      <c r="AR92" s="59"/>
      <c r="AS92" s="59"/>
      <c r="AT92" s="59"/>
      <c r="AU92" s="59"/>
      <c r="AV92" s="59"/>
      <c r="AW92" s="59"/>
      <c r="AX92" s="59"/>
      <c r="AY92" s="59"/>
      <c r="AZ92" s="59"/>
      <c r="BA92" s="59"/>
      <c r="BB92" s="59"/>
      <c r="BC92" s="59"/>
      <c r="BD92" s="59"/>
      <c r="BE92" s="59"/>
      <c r="BF92" s="59"/>
      <c r="BG92" s="59"/>
      <c r="BH92" s="59"/>
      <c r="BI92" s="59"/>
      <c r="BJ92" s="59"/>
      <c r="BK92" s="59"/>
    </row>
    <row r="93" spans="1:63" s="65" customFormat="1" x14ac:dyDescent="0.4">
      <c r="A93" s="65" t="s">
        <v>3</v>
      </c>
      <c r="B93" s="70">
        <v>3.14</v>
      </c>
      <c r="C93" s="59">
        <v>6795.7</v>
      </c>
      <c r="D93" s="72">
        <f>C93/C95</f>
        <v>53.848652931854197</v>
      </c>
      <c r="E93" s="74">
        <f>(D94+0.0045)/0.0056</f>
        <v>4.1429420421100289</v>
      </c>
      <c r="F93" s="97">
        <f>(C94/(C93+C94))</f>
        <v>3.4715786562636991E-4</v>
      </c>
      <c r="G93" s="87"/>
      <c r="H93" s="87"/>
      <c r="I93" s="87"/>
      <c r="J93" s="59"/>
      <c r="K93" s="59"/>
      <c r="L93" s="89"/>
      <c r="M93" s="59"/>
      <c r="N93" s="88"/>
      <c r="O93" s="88"/>
      <c r="P93" s="88"/>
      <c r="Q93" s="88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89"/>
      <c r="AI93" s="59"/>
      <c r="AJ93" s="88"/>
      <c r="AK93" s="88"/>
      <c r="AL93" s="88"/>
      <c r="AM93" s="88"/>
      <c r="AN93" s="59"/>
      <c r="AO93" s="59"/>
      <c r="AP93" s="59"/>
      <c r="AQ93" s="59"/>
      <c r="AR93" s="59"/>
      <c r="AS93" s="59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59"/>
      <c r="BE93" s="59"/>
      <c r="BF93" s="59"/>
      <c r="BG93" s="59"/>
      <c r="BH93" s="59"/>
      <c r="BI93" s="59"/>
      <c r="BJ93" s="59"/>
      <c r="BK93" s="59"/>
    </row>
    <row r="94" spans="1:63" s="65" customFormat="1" x14ac:dyDescent="0.4">
      <c r="A94" s="65" t="s">
        <v>5</v>
      </c>
      <c r="B94" s="70">
        <v>4.83</v>
      </c>
      <c r="C94" s="59">
        <v>2.36</v>
      </c>
      <c r="D94" s="31">
        <f>C94/C95</f>
        <v>1.8700475435816162E-2</v>
      </c>
      <c r="E94" s="74"/>
      <c r="F94" s="72"/>
      <c r="G94" s="87"/>
      <c r="H94" s="87"/>
      <c r="I94" s="87"/>
      <c r="J94" s="59"/>
      <c r="K94" s="59"/>
      <c r="L94" s="59"/>
      <c r="M94" s="59"/>
      <c r="N94" s="91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91"/>
      <c r="AK94" s="59"/>
      <c r="AL94" s="59"/>
      <c r="AM94" s="59"/>
      <c r="AN94" s="59"/>
      <c r="AO94" s="59"/>
      <c r="AP94" s="59"/>
      <c r="AQ94" s="59"/>
      <c r="AR94" s="59"/>
      <c r="AS94" s="59"/>
      <c r="AT94" s="59"/>
      <c r="AU94" s="59"/>
      <c r="AV94" s="59"/>
      <c r="AW94" s="59"/>
      <c r="AX94" s="59"/>
      <c r="AY94" s="59"/>
      <c r="AZ94" s="59"/>
      <c r="BA94" s="59"/>
      <c r="BB94" s="59"/>
      <c r="BC94" s="59"/>
      <c r="BD94" s="59"/>
      <c r="BE94" s="59"/>
      <c r="BF94" s="59"/>
      <c r="BG94" s="59"/>
      <c r="BH94" s="59"/>
      <c r="BI94" s="59"/>
      <c r="BJ94" s="59"/>
      <c r="BK94" s="59"/>
    </row>
    <row r="95" spans="1:63" s="65" customFormat="1" ht="15" thickBot="1" x14ac:dyDescent="0.45">
      <c r="A95" s="65" t="s">
        <v>4</v>
      </c>
      <c r="B95" s="75">
        <v>6.2119999999999997</v>
      </c>
      <c r="C95" s="76">
        <v>126.2</v>
      </c>
      <c r="D95" s="76"/>
      <c r="E95" s="77"/>
      <c r="F95" s="100">
        <f>C95/(C93+C94+C95)</f>
        <v>1.8225774306568503E-2</v>
      </c>
      <c r="G95" s="87"/>
      <c r="H95" s="87"/>
      <c r="I95" s="87"/>
      <c r="J95" s="59"/>
      <c r="K95" s="59"/>
      <c r="L95" s="89"/>
      <c r="M95" s="59"/>
      <c r="N95" s="88"/>
      <c r="O95" s="88"/>
      <c r="P95" s="88"/>
      <c r="Q95" s="88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89"/>
      <c r="AI95" s="59"/>
      <c r="AJ95" s="88"/>
      <c r="AK95" s="88"/>
      <c r="AL95" s="88"/>
      <c r="AM95" s="88"/>
      <c r="AN95" s="59"/>
      <c r="AO95" s="59"/>
      <c r="AP95" s="59"/>
      <c r="AQ95" s="59"/>
      <c r="AR95" s="59"/>
      <c r="AS95" s="59"/>
      <c r="AT95" s="59"/>
      <c r="AU95" s="59"/>
      <c r="AV95" s="59"/>
      <c r="AW95" s="59"/>
      <c r="AX95" s="59"/>
      <c r="AY95" s="59"/>
      <c r="AZ95" s="59"/>
      <c r="BA95" s="59"/>
      <c r="BB95" s="59"/>
      <c r="BC95" s="59"/>
      <c r="BD95" s="59"/>
      <c r="BE95" s="59"/>
      <c r="BF95" s="59"/>
      <c r="BG95" s="59"/>
      <c r="BH95" s="59"/>
      <c r="BI95" s="59"/>
      <c r="BJ95" s="59"/>
      <c r="BK95" s="59"/>
    </row>
    <row r="96" spans="1:63" s="78" customFormat="1" ht="15" thickBot="1" x14ac:dyDescent="0.45">
      <c r="A96" s="1" t="s">
        <v>206</v>
      </c>
      <c r="F96" s="79"/>
      <c r="G96" s="87"/>
      <c r="H96" s="87"/>
      <c r="I96" s="87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  <c r="AP96" s="59"/>
      <c r="AQ96" s="59"/>
      <c r="AR96" s="59"/>
      <c r="AS96" s="59"/>
      <c r="AT96" s="59"/>
      <c r="AU96" s="59"/>
      <c r="AV96" s="59"/>
      <c r="AW96" s="59"/>
      <c r="AX96" s="59"/>
      <c r="AY96" s="59"/>
      <c r="AZ96" s="59"/>
      <c r="BA96" s="59"/>
      <c r="BB96" s="59"/>
      <c r="BC96" s="59"/>
      <c r="BD96" s="59"/>
      <c r="BE96" s="59"/>
      <c r="BF96" s="59"/>
      <c r="BG96" s="59"/>
      <c r="BH96" s="59"/>
      <c r="BI96" s="59"/>
      <c r="BJ96" s="59"/>
      <c r="BK96" s="59"/>
    </row>
    <row r="97" spans="1:63" x14ac:dyDescent="0.4">
      <c r="A97" t="s">
        <v>0</v>
      </c>
      <c r="B97" s="66" t="s">
        <v>2</v>
      </c>
      <c r="C97" s="67" t="s">
        <v>1</v>
      </c>
      <c r="D97" s="67" t="s">
        <v>113</v>
      </c>
      <c r="E97" s="11" t="s">
        <v>69</v>
      </c>
      <c r="F97" s="65" t="s">
        <v>180</v>
      </c>
      <c r="G97" s="21"/>
      <c r="H97" s="21"/>
      <c r="I97" s="21"/>
      <c r="J97" s="59"/>
      <c r="K97" s="59"/>
      <c r="L97" s="59"/>
      <c r="AF97" s="59"/>
      <c r="AG97" s="59"/>
      <c r="AH97" s="59"/>
    </row>
    <row r="98" spans="1:63" x14ac:dyDescent="0.4">
      <c r="A98" t="s">
        <v>3</v>
      </c>
      <c r="B98" s="18">
        <v>3.1</v>
      </c>
      <c r="C98" s="59">
        <v>6695.4</v>
      </c>
      <c r="D98" s="8">
        <f>C98/C100</f>
        <v>54.213765182186229</v>
      </c>
      <c r="E98" s="74">
        <f>(D99+0.0045)/0.0056</f>
        <v>8.0765615962984381</v>
      </c>
      <c r="F98" s="97">
        <f>(C99/(C98+C99))</f>
        <v>7.5069808952559771E-4</v>
      </c>
      <c r="G98" s="21"/>
      <c r="H98" s="21"/>
      <c r="I98" s="21"/>
      <c r="M98" s="59"/>
      <c r="N98" s="59"/>
      <c r="AI98" s="59"/>
      <c r="AJ98" s="59"/>
    </row>
    <row r="99" spans="1:63" x14ac:dyDescent="0.4">
      <c r="A99" t="s">
        <v>5</v>
      </c>
      <c r="B99" s="18">
        <v>4.83</v>
      </c>
      <c r="C99" s="59">
        <v>5.03</v>
      </c>
      <c r="D99" s="32">
        <f>C99/C100</f>
        <v>4.0728744939271255E-2</v>
      </c>
      <c r="E99" s="13"/>
      <c r="F99" s="72"/>
      <c r="G99" s="21"/>
      <c r="H99" s="21"/>
      <c r="I99" s="21"/>
    </row>
    <row r="100" spans="1:63" ht="15" thickBot="1" x14ac:dyDescent="0.45">
      <c r="A100" t="s">
        <v>4</v>
      </c>
      <c r="B100" s="20">
        <v>6.2119999999999997</v>
      </c>
      <c r="C100" s="16">
        <v>123.5</v>
      </c>
      <c r="D100" s="16"/>
      <c r="E100" s="24"/>
      <c r="F100" s="100">
        <f>C100/(C98+C99+C100)</f>
        <v>1.8098075449191304E-2</v>
      </c>
      <c r="G100" s="21"/>
      <c r="H100" s="21"/>
      <c r="I100" s="21"/>
    </row>
    <row r="101" spans="1:63" s="1" customFormat="1" ht="15" thickBot="1" x14ac:dyDescent="0.45">
      <c r="A101" s="1" t="s">
        <v>207</v>
      </c>
      <c r="F101" s="64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1"/>
      <c r="BF101" s="21"/>
      <c r="BG101" s="21"/>
      <c r="BH101" s="21"/>
      <c r="BI101" s="21"/>
      <c r="BJ101" s="21"/>
      <c r="BK101" s="21"/>
    </row>
    <row r="102" spans="1:63" x14ac:dyDescent="0.4">
      <c r="A102" t="s">
        <v>0</v>
      </c>
      <c r="B102" s="66" t="s">
        <v>2</v>
      </c>
      <c r="C102" s="67" t="s">
        <v>1</v>
      </c>
      <c r="D102" s="67" t="s">
        <v>113</v>
      </c>
      <c r="E102" s="11" t="s">
        <v>69</v>
      </c>
      <c r="F102" s="65" t="s">
        <v>180</v>
      </c>
      <c r="G102" s="21"/>
      <c r="H102" s="21"/>
      <c r="I102" s="21"/>
    </row>
    <row r="103" spans="1:63" x14ac:dyDescent="0.4">
      <c r="A103" t="s">
        <v>3</v>
      </c>
      <c r="B103" s="18">
        <v>3.1</v>
      </c>
      <c r="C103" s="59">
        <v>6703.2</v>
      </c>
      <c r="D103" s="8">
        <f>C103/C105</f>
        <v>53.840963855421684</v>
      </c>
      <c r="E103" s="74">
        <f>(D104+0.0045)/0.0056</f>
        <v>9.1942771084337345</v>
      </c>
      <c r="F103" s="97">
        <f>(C104/(C103+C104))</f>
        <v>8.7195653632034329E-4</v>
      </c>
      <c r="G103" s="21"/>
      <c r="H103" s="21"/>
      <c r="I103" s="21"/>
    </row>
    <row r="104" spans="1:63" x14ac:dyDescent="0.4">
      <c r="A104" t="s">
        <v>5</v>
      </c>
      <c r="B104" s="18">
        <v>4.83</v>
      </c>
      <c r="C104" s="59">
        <v>5.85</v>
      </c>
      <c r="D104" s="32">
        <f>C104/C105</f>
        <v>4.6987951807228916E-2</v>
      </c>
      <c r="E104" s="13"/>
      <c r="F104" s="72"/>
      <c r="G104" s="21"/>
      <c r="H104" s="21"/>
      <c r="I104" s="21"/>
    </row>
    <row r="105" spans="1:63" ht="15" thickBot="1" x14ac:dyDescent="0.45">
      <c r="A105" t="s">
        <v>4</v>
      </c>
      <c r="B105" s="20">
        <v>6.2119999999999997</v>
      </c>
      <c r="C105" s="16">
        <v>124.5</v>
      </c>
      <c r="D105" s="16"/>
      <c r="E105" s="24"/>
      <c r="F105" s="100">
        <f>C105/(C103+C104+C105)</f>
        <v>1.8218934521588341E-2</v>
      </c>
    </row>
    <row r="106" spans="1:63" s="4" customFormat="1" x14ac:dyDescent="0.4">
      <c r="A106" s="4" t="s">
        <v>186</v>
      </c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21"/>
      <c r="BG106" s="21"/>
      <c r="BH106" s="21"/>
      <c r="BI106" s="21"/>
      <c r="BJ106" s="21"/>
      <c r="BK106" s="21"/>
    </row>
    <row r="107" spans="1:63" s="1" customFormat="1" ht="15" thickBot="1" x14ac:dyDescent="0.45">
      <c r="A107" s="1" t="s">
        <v>209</v>
      </c>
      <c r="G107" s="60"/>
      <c r="H107" s="60"/>
      <c r="I107" s="60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21"/>
      <c r="BG107" s="21"/>
      <c r="BH107" s="21"/>
      <c r="BI107" s="21"/>
      <c r="BJ107" s="21"/>
      <c r="BK107" s="21"/>
    </row>
    <row r="108" spans="1:63" s="65" customFormat="1" x14ac:dyDescent="0.4">
      <c r="A108" s="65" t="s">
        <v>0</v>
      </c>
      <c r="B108" s="66" t="s">
        <v>2</v>
      </c>
      <c r="C108" s="67" t="s">
        <v>1</v>
      </c>
      <c r="D108" s="67" t="s">
        <v>113</v>
      </c>
      <c r="E108" s="11" t="s">
        <v>69</v>
      </c>
      <c r="F108" s="65" t="s">
        <v>180</v>
      </c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9"/>
      <c r="AN108" s="59"/>
      <c r="AO108" s="59"/>
      <c r="AP108" s="59"/>
      <c r="AQ108" s="59"/>
      <c r="AR108" s="59"/>
      <c r="AS108" s="59"/>
      <c r="AT108" s="59"/>
      <c r="AU108" s="59"/>
      <c r="AV108" s="59"/>
      <c r="AW108" s="59"/>
      <c r="AX108" s="59"/>
      <c r="AY108" s="59"/>
      <c r="AZ108" s="59"/>
      <c r="BA108" s="59"/>
      <c r="BB108" s="59"/>
      <c r="BC108" s="59"/>
      <c r="BD108" s="59"/>
      <c r="BE108" s="59"/>
      <c r="BF108" s="59"/>
      <c r="BG108" s="59"/>
      <c r="BH108" s="59"/>
      <c r="BI108" s="59"/>
      <c r="BJ108" s="59"/>
      <c r="BK108" s="59"/>
    </row>
    <row r="109" spans="1:63" s="65" customFormat="1" x14ac:dyDescent="0.4">
      <c r="A109" s="65" t="s">
        <v>3</v>
      </c>
      <c r="B109" s="70">
        <v>3.1</v>
      </c>
      <c r="C109" s="71">
        <v>6911.2</v>
      </c>
      <c r="D109" s="72">
        <f>C109/C111</f>
        <v>54.205490196078429</v>
      </c>
      <c r="E109" s="74">
        <f>(D110+0.0045)/0.0056</f>
        <v>2.0934873949579833</v>
      </c>
      <c r="F109" s="97">
        <f>(C110/(C109+C110))</f>
        <v>1.3324419523327209E-4</v>
      </c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  <c r="AJ109" s="59"/>
      <c r="AK109" s="59"/>
      <c r="AL109" s="59"/>
      <c r="AM109" s="59"/>
      <c r="AN109" s="59"/>
      <c r="AO109" s="59"/>
      <c r="AP109" s="59"/>
      <c r="AQ109" s="59"/>
      <c r="AR109" s="59"/>
      <c r="AS109" s="59"/>
      <c r="AT109" s="59"/>
      <c r="AU109" s="59"/>
      <c r="AV109" s="59"/>
      <c r="AW109" s="59"/>
      <c r="AX109" s="59"/>
      <c r="AY109" s="59"/>
      <c r="AZ109" s="59"/>
      <c r="BA109" s="59"/>
      <c r="BB109" s="59"/>
      <c r="BC109" s="59"/>
      <c r="BD109" s="59"/>
      <c r="BE109" s="59"/>
      <c r="BF109" s="59"/>
      <c r="BG109" s="59"/>
      <c r="BH109" s="59"/>
      <c r="BI109" s="59"/>
      <c r="BJ109" s="59"/>
      <c r="BK109" s="59"/>
    </row>
    <row r="110" spans="1:63" s="65" customFormat="1" x14ac:dyDescent="0.4">
      <c r="A110" s="65" t="s">
        <v>5</v>
      </c>
      <c r="B110" s="70">
        <v>4.83</v>
      </c>
      <c r="C110" s="71">
        <v>0.92100000000000004</v>
      </c>
      <c r="D110" s="31">
        <f>C110/C111</f>
        <v>7.2235294117647059E-3</v>
      </c>
      <c r="E110" s="74"/>
      <c r="F110" s="72"/>
      <c r="G110" s="59"/>
      <c r="H110" s="59"/>
      <c r="I110" s="59"/>
      <c r="J110" s="59"/>
      <c r="K110" s="59"/>
      <c r="L110" s="8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  <c r="AE110" s="59"/>
      <c r="AF110" s="59"/>
      <c r="AG110" s="59"/>
      <c r="AH110" s="89"/>
      <c r="AI110" s="59"/>
      <c r="AJ110" s="59"/>
      <c r="AK110" s="59"/>
      <c r="AL110" s="59"/>
      <c r="AM110" s="59"/>
      <c r="AN110" s="59"/>
      <c r="AO110" s="59"/>
      <c r="AP110" s="59"/>
      <c r="AQ110" s="59"/>
      <c r="AR110" s="59"/>
      <c r="AS110" s="59"/>
      <c r="AT110" s="59"/>
      <c r="AU110" s="59"/>
      <c r="AV110" s="59"/>
      <c r="AW110" s="59"/>
      <c r="AX110" s="59"/>
      <c r="AY110" s="59"/>
      <c r="AZ110" s="59"/>
      <c r="BA110" s="59"/>
      <c r="BB110" s="59"/>
      <c r="BC110" s="59"/>
      <c r="BD110" s="59"/>
      <c r="BE110" s="59"/>
      <c r="BF110" s="59"/>
      <c r="BG110" s="59"/>
      <c r="BH110" s="59"/>
      <c r="BI110" s="59"/>
      <c r="BJ110" s="59"/>
      <c r="BK110" s="59"/>
    </row>
    <row r="111" spans="1:63" s="65" customFormat="1" ht="15" thickBot="1" x14ac:dyDescent="0.45">
      <c r="A111" s="65" t="s">
        <v>4</v>
      </c>
      <c r="B111" s="75">
        <v>6.2119999999999997</v>
      </c>
      <c r="C111" s="76">
        <v>127.5</v>
      </c>
      <c r="D111" s="76"/>
      <c r="E111" s="77"/>
      <c r="F111" s="100">
        <f>C111/(C109+C110+C111)</f>
        <v>1.8111770505826946E-2</v>
      </c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  <c r="AJ111" s="59"/>
      <c r="AK111" s="59"/>
      <c r="AL111" s="59"/>
      <c r="AM111" s="59"/>
      <c r="AN111" s="59"/>
      <c r="AO111" s="59"/>
      <c r="AP111" s="59"/>
      <c r="AQ111" s="59"/>
      <c r="AR111" s="59"/>
      <c r="AS111" s="59"/>
      <c r="AT111" s="59"/>
      <c r="AU111" s="59"/>
      <c r="AV111" s="59"/>
      <c r="AW111" s="59"/>
      <c r="AX111" s="59"/>
      <c r="AY111" s="59"/>
      <c r="AZ111" s="59"/>
      <c r="BA111" s="59"/>
      <c r="BB111" s="59"/>
      <c r="BC111" s="59"/>
      <c r="BD111" s="59"/>
      <c r="BE111" s="59"/>
      <c r="BF111" s="59"/>
      <c r="BG111" s="59"/>
      <c r="BH111" s="59"/>
      <c r="BI111" s="59"/>
      <c r="BJ111" s="59"/>
      <c r="BK111" s="59"/>
    </row>
    <row r="112" spans="1:63" s="78" customFormat="1" ht="15" thickBot="1" x14ac:dyDescent="0.45">
      <c r="A112" s="1" t="s">
        <v>210</v>
      </c>
      <c r="G112" s="87"/>
      <c r="H112" s="87"/>
      <c r="I112" s="87"/>
      <c r="J112" s="59"/>
      <c r="K112" s="59"/>
      <c r="L112" s="8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  <c r="AD112" s="59"/>
      <c r="AE112" s="59"/>
      <c r="AF112" s="59"/>
      <c r="AG112" s="59"/>
      <c r="AH112" s="89"/>
      <c r="AI112" s="59"/>
      <c r="AJ112" s="59"/>
      <c r="AK112" s="59"/>
      <c r="AL112" s="59"/>
      <c r="AM112" s="59"/>
      <c r="AN112" s="59"/>
      <c r="AO112" s="59"/>
      <c r="AP112" s="59"/>
      <c r="AQ112" s="59"/>
      <c r="AR112" s="59"/>
      <c r="AS112" s="59"/>
      <c r="AT112" s="59"/>
      <c r="AU112" s="59"/>
      <c r="AV112" s="59"/>
      <c r="AW112" s="59"/>
      <c r="AX112" s="59"/>
      <c r="AY112" s="59"/>
      <c r="AZ112" s="59"/>
      <c r="BA112" s="59"/>
      <c r="BB112" s="59"/>
      <c r="BC112" s="59"/>
      <c r="BD112" s="59"/>
      <c r="BE112" s="59"/>
      <c r="BF112" s="59"/>
      <c r="BG112" s="59"/>
      <c r="BH112" s="59"/>
      <c r="BI112" s="59"/>
      <c r="BJ112" s="59"/>
      <c r="BK112" s="59"/>
    </row>
    <row r="113" spans="1:63" s="65" customFormat="1" x14ac:dyDescent="0.4">
      <c r="A113" s="65" t="s">
        <v>0</v>
      </c>
      <c r="B113" s="66" t="s">
        <v>2</v>
      </c>
      <c r="C113" s="67" t="s">
        <v>1</v>
      </c>
      <c r="D113" s="67" t="s">
        <v>113</v>
      </c>
      <c r="E113" s="11" t="s">
        <v>69</v>
      </c>
      <c r="F113" s="65" t="s">
        <v>180</v>
      </c>
      <c r="G113" s="87"/>
      <c r="H113" s="87"/>
      <c r="I113" s="87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  <c r="AJ113" s="59"/>
      <c r="AK113" s="59"/>
      <c r="AL113" s="59"/>
      <c r="AM113" s="59"/>
      <c r="AN113" s="59"/>
      <c r="AO113" s="59"/>
      <c r="AP113" s="59"/>
      <c r="AQ113" s="59"/>
      <c r="AR113" s="59"/>
      <c r="AS113" s="59"/>
      <c r="AT113" s="59"/>
      <c r="AU113" s="59"/>
      <c r="AV113" s="59"/>
      <c r="AW113" s="59"/>
      <c r="AX113" s="59"/>
      <c r="AY113" s="59"/>
      <c r="AZ113" s="59"/>
      <c r="BA113" s="59"/>
      <c r="BB113" s="59"/>
      <c r="BC113" s="59"/>
      <c r="BD113" s="59"/>
      <c r="BE113" s="59"/>
      <c r="BF113" s="59"/>
      <c r="BG113" s="59"/>
      <c r="BH113" s="59"/>
      <c r="BI113" s="59"/>
      <c r="BJ113" s="59"/>
      <c r="BK113" s="59"/>
    </row>
    <row r="114" spans="1:63" s="65" customFormat="1" x14ac:dyDescent="0.4">
      <c r="A114" s="65" t="s">
        <v>3</v>
      </c>
      <c r="B114" s="70">
        <v>3.14</v>
      </c>
      <c r="C114" s="59">
        <v>6731.5</v>
      </c>
      <c r="D114" s="72">
        <f>C114/C116</f>
        <v>53.895116092874296</v>
      </c>
      <c r="E114" s="74">
        <f>(D115+0.0045)/0.0056</f>
        <v>2.8480641656182089</v>
      </c>
      <c r="F114" s="97">
        <f>(C115/(C114+C115))</f>
        <v>2.1238895993274843E-4</v>
      </c>
      <c r="G114" s="87"/>
      <c r="H114" s="87"/>
      <c r="I114" s="87"/>
      <c r="J114" s="59"/>
      <c r="K114" s="59"/>
      <c r="L114" s="89"/>
      <c r="M114" s="59"/>
      <c r="N114" s="88"/>
      <c r="O114" s="88"/>
      <c r="P114" s="88"/>
      <c r="Q114" s="88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  <c r="AD114" s="59"/>
      <c r="AE114" s="59"/>
      <c r="AF114" s="59"/>
      <c r="AG114" s="59"/>
      <c r="AH114" s="89"/>
      <c r="AI114" s="59"/>
      <c r="AJ114" s="88"/>
      <c r="AK114" s="88"/>
      <c r="AL114" s="88"/>
      <c r="AM114" s="88"/>
      <c r="AN114" s="59"/>
      <c r="AO114" s="59"/>
      <c r="AP114" s="59"/>
      <c r="AQ114" s="59"/>
      <c r="AR114" s="59"/>
      <c r="AS114" s="59"/>
      <c r="AT114" s="59"/>
      <c r="AU114" s="59"/>
      <c r="AV114" s="59"/>
      <c r="AW114" s="59"/>
      <c r="AX114" s="59"/>
      <c r="AY114" s="59"/>
      <c r="AZ114" s="59"/>
      <c r="BA114" s="59"/>
      <c r="BB114" s="59"/>
      <c r="BC114" s="59"/>
      <c r="BD114" s="59"/>
      <c r="BE114" s="59"/>
      <c r="BF114" s="59"/>
      <c r="BG114" s="59"/>
      <c r="BH114" s="59"/>
      <c r="BI114" s="59"/>
      <c r="BJ114" s="59"/>
      <c r="BK114" s="59"/>
    </row>
    <row r="115" spans="1:63" s="65" customFormat="1" x14ac:dyDescent="0.4">
      <c r="A115" s="65" t="s">
        <v>5</v>
      </c>
      <c r="B115" s="70">
        <v>4.83</v>
      </c>
      <c r="C115" s="59">
        <v>1.43</v>
      </c>
      <c r="D115" s="31">
        <f>C115/C116</f>
        <v>1.1449159327461969E-2</v>
      </c>
      <c r="E115" s="74"/>
      <c r="F115" s="72"/>
      <c r="G115" s="87"/>
      <c r="H115" s="87"/>
      <c r="I115" s="87"/>
      <c r="J115" s="59"/>
      <c r="K115" s="59"/>
      <c r="L115" s="59"/>
      <c r="M115" s="59"/>
      <c r="N115" s="91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91"/>
      <c r="AK115" s="59"/>
      <c r="AL115" s="59"/>
      <c r="AM115" s="59"/>
      <c r="AN115" s="59"/>
      <c r="AO115" s="59"/>
      <c r="AP115" s="59"/>
      <c r="AQ115" s="59"/>
      <c r="AR115" s="59"/>
      <c r="AS115" s="59"/>
      <c r="AT115" s="59"/>
      <c r="AU115" s="59"/>
      <c r="AV115" s="59"/>
      <c r="AW115" s="59"/>
      <c r="AX115" s="59"/>
      <c r="AY115" s="59"/>
      <c r="AZ115" s="59"/>
      <c r="BA115" s="59"/>
      <c r="BB115" s="59"/>
      <c r="BC115" s="59"/>
      <c r="BD115" s="59"/>
      <c r="BE115" s="59"/>
      <c r="BF115" s="59"/>
      <c r="BG115" s="59"/>
      <c r="BH115" s="59"/>
      <c r="BI115" s="59"/>
      <c r="BJ115" s="59"/>
      <c r="BK115" s="59"/>
    </row>
    <row r="116" spans="1:63" s="65" customFormat="1" ht="15" thickBot="1" x14ac:dyDescent="0.45">
      <c r="A116" s="65" t="s">
        <v>4</v>
      </c>
      <c r="B116" s="75">
        <v>6.2119999999999997</v>
      </c>
      <c r="C116" s="76">
        <v>124.9</v>
      </c>
      <c r="D116" s="76"/>
      <c r="E116" s="77"/>
      <c r="F116" s="100">
        <f>C116/(C114+C115+C116)</f>
        <v>1.8212758263182378E-2</v>
      </c>
      <c r="G116" s="87"/>
      <c r="H116" s="87"/>
      <c r="I116" s="87"/>
      <c r="J116" s="59"/>
      <c r="K116" s="59"/>
      <c r="L116" s="89"/>
      <c r="M116" s="59"/>
      <c r="N116" s="88"/>
      <c r="O116" s="88"/>
      <c r="P116" s="88"/>
      <c r="Q116" s="88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  <c r="AD116" s="59"/>
      <c r="AE116" s="59"/>
      <c r="AF116" s="59"/>
      <c r="AG116" s="59"/>
      <c r="AH116" s="89"/>
      <c r="AI116" s="59"/>
      <c r="AJ116" s="88"/>
      <c r="AK116" s="88"/>
      <c r="AL116" s="88"/>
      <c r="AM116" s="88"/>
      <c r="AN116" s="59"/>
      <c r="AO116" s="59"/>
      <c r="AP116" s="59"/>
      <c r="AQ116" s="59"/>
      <c r="AR116" s="59"/>
      <c r="AS116" s="59"/>
      <c r="AT116" s="59"/>
      <c r="AU116" s="59"/>
      <c r="AV116" s="59"/>
      <c r="AW116" s="59"/>
      <c r="AX116" s="59"/>
      <c r="AY116" s="59"/>
      <c r="AZ116" s="59"/>
      <c r="BA116" s="59"/>
      <c r="BB116" s="59"/>
      <c r="BC116" s="59"/>
      <c r="BD116" s="59"/>
      <c r="BE116" s="59"/>
      <c r="BF116" s="59"/>
      <c r="BG116" s="59"/>
      <c r="BH116" s="59"/>
      <c r="BI116" s="59"/>
      <c r="BJ116" s="59"/>
      <c r="BK116" s="59"/>
    </row>
    <row r="117" spans="1:63" s="78" customFormat="1" ht="15" thickBot="1" x14ac:dyDescent="0.45">
      <c r="A117" s="1" t="s">
        <v>211</v>
      </c>
      <c r="F117" s="79"/>
      <c r="G117" s="87"/>
      <c r="H117" s="87"/>
      <c r="I117" s="87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  <c r="AJ117" s="59"/>
      <c r="AK117" s="59"/>
      <c r="AL117" s="59"/>
      <c r="AM117" s="59"/>
      <c r="AN117" s="59"/>
      <c r="AO117" s="59"/>
      <c r="AP117" s="59"/>
      <c r="AQ117" s="59"/>
      <c r="AR117" s="59"/>
      <c r="AS117" s="59"/>
      <c r="AT117" s="59"/>
      <c r="AU117" s="59"/>
      <c r="AV117" s="59"/>
      <c r="AW117" s="59"/>
      <c r="AX117" s="59"/>
      <c r="AY117" s="59"/>
      <c r="AZ117" s="59"/>
      <c r="BA117" s="59"/>
      <c r="BB117" s="59"/>
      <c r="BC117" s="59"/>
      <c r="BD117" s="59"/>
      <c r="BE117" s="59"/>
      <c r="BF117" s="59"/>
      <c r="BG117" s="59"/>
      <c r="BH117" s="59"/>
      <c r="BI117" s="59"/>
      <c r="BJ117" s="59"/>
      <c r="BK117" s="59"/>
    </row>
    <row r="118" spans="1:63" x14ac:dyDescent="0.4">
      <c r="A118" t="s">
        <v>0</v>
      </c>
      <c r="B118" s="66" t="s">
        <v>2</v>
      </c>
      <c r="C118" s="67" t="s">
        <v>1</v>
      </c>
      <c r="D118" s="67" t="s">
        <v>113</v>
      </c>
      <c r="E118" s="11" t="s">
        <v>69</v>
      </c>
      <c r="F118" s="65" t="s">
        <v>180</v>
      </c>
      <c r="G118" s="21"/>
      <c r="H118" s="21"/>
      <c r="I118" s="21"/>
      <c r="J118" s="59"/>
      <c r="K118" s="59"/>
      <c r="L118" s="59"/>
      <c r="AF118" s="59"/>
      <c r="AG118" s="59"/>
      <c r="AH118" s="59"/>
    </row>
    <row r="119" spans="1:63" x14ac:dyDescent="0.4">
      <c r="A119" t="s">
        <v>3</v>
      </c>
      <c r="B119" s="18">
        <v>3.1</v>
      </c>
      <c r="C119" s="59">
        <v>6756.7</v>
      </c>
      <c r="D119" s="8">
        <f>C119/C121</f>
        <v>54.096877502001597</v>
      </c>
      <c r="E119" s="74">
        <f>(D120+0.0045)/0.0056</f>
        <v>4.692396774562507</v>
      </c>
      <c r="F119" s="97">
        <f>(C120/(C119+C120))</f>
        <v>4.024013894683272E-4</v>
      </c>
      <c r="G119" s="21"/>
      <c r="H119" s="21"/>
      <c r="I119" s="21"/>
      <c r="M119" s="59"/>
      <c r="N119" s="59"/>
      <c r="AI119" s="59"/>
      <c r="AJ119" s="59"/>
    </row>
    <row r="120" spans="1:63" x14ac:dyDescent="0.4">
      <c r="A120" t="s">
        <v>5</v>
      </c>
      <c r="B120" s="18">
        <v>4.83</v>
      </c>
      <c r="C120" s="59">
        <v>2.72</v>
      </c>
      <c r="D120" s="32">
        <f>C120/C121</f>
        <v>2.1777421937550039E-2</v>
      </c>
      <c r="E120" s="13"/>
      <c r="F120" s="72"/>
      <c r="G120" s="21"/>
      <c r="H120" s="21"/>
      <c r="I120" s="21"/>
    </row>
    <row r="121" spans="1:63" ht="15" thickBot="1" x14ac:dyDescent="0.45">
      <c r="A121" t="s">
        <v>4</v>
      </c>
      <c r="B121" s="20">
        <v>6.2119999999999997</v>
      </c>
      <c r="C121" s="16">
        <v>124.9</v>
      </c>
      <c r="D121" s="16"/>
      <c r="E121" s="24"/>
      <c r="F121" s="100">
        <f>C121/(C119+C120+C121)</f>
        <v>1.8142677853440866E-2</v>
      </c>
      <c r="G121" s="21"/>
      <c r="H121" s="21"/>
      <c r="I121" s="21"/>
    </row>
    <row r="122" spans="1:63" s="1" customFormat="1" ht="15" thickBot="1" x14ac:dyDescent="0.45">
      <c r="A122" s="1" t="s">
        <v>212</v>
      </c>
      <c r="F122" s="64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21"/>
      <c r="BG122" s="21"/>
      <c r="BH122" s="21"/>
      <c r="BI122" s="21"/>
      <c r="BJ122" s="21"/>
      <c r="BK122" s="21"/>
    </row>
    <row r="123" spans="1:63" x14ac:dyDescent="0.4">
      <c r="A123" t="s">
        <v>0</v>
      </c>
      <c r="B123" s="66" t="s">
        <v>2</v>
      </c>
      <c r="C123" s="67" t="s">
        <v>1</v>
      </c>
      <c r="D123" s="67" t="s">
        <v>113</v>
      </c>
      <c r="E123" s="11" t="s">
        <v>69</v>
      </c>
      <c r="F123" s="65" t="s">
        <v>180</v>
      </c>
      <c r="G123" s="21"/>
      <c r="H123" s="21"/>
      <c r="I123" s="21"/>
    </row>
    <row r="124" spans="1:63" x14ac:dyDescent="0.4">
      <c r="A124" t="s">
        <v>3</v>
      </c>
      <c r="B124" s="18">
        <v>3.1</v>
      </c>
      <c r="C124" s="59">
        <v>6730.1</v>
      </c>
      <c r="D124" s="8">
        <f>C124/C126</f>
        <v>54.013643659711079</v>
      </c>
      <c r="E124" s="74">
        <f>(D125+0.0045)/0.0056</f>
        <v>5.590317587709241</v>
      </c>
      <c r="F124" s="97">
        <f>(C125/(C124+C125))</f>
        <v>4.96031746031746E-4</v>
      </c>
      <c r="G124" s="21"/>
      <c r="H124" s="21"/>
      <c r="I124" s="21"/>
    </row>
    <row r="125" spans="1:63" x14ac:dyDescent="0.4">
      <c r="A125" t="s">
        <v>5</v>
      </c>
      <c r="B125" s="18">
        <v>4.83</v>
      </c>
      <c r="C125" s="59">
        <v>3.34</v>
      </c>
      <c r="D125" s="32">
        <f>C125/C126</f>
        <v>2.6805778491171748E-2</v>
      </c>
      <c r="E125" s="13"/>
      <c r="F125" s="72"/>
      <c r="G125" s="21"/>
      <c r="H125" s="21"/>
      <c r="I125" s="21"/>
    </row>
    <row r="126" spans="1:63" ht="15" thickBot="1" x14ac:dyDescent="0.45">
      <c r="A126" t="s">
        <v>4</v>
      </c>
      <c r="B126" s="20">
        <v>6.2119999999999997</v>
      </c>
      <c r="C126" s="16">
        <v>124.6</v>
      </c>
      <c r="D126" s="16"/>
      <c r="E126" s="24"/>
      <c r="F126" s="100">
        <f>C126/(C124+C125+C126)</f>
        <v>1.8168456293634914E-2</v>
      </c>
    </row>
    <row r="127" spans="1:63" s="4" customFormat="1" x14ac:dyDescent="0.4">
      <c r="A127" s="4" t="s">
        <v>186</v>
      </c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"/>
      <c r="BE127" s="21"/>
      <c r="BF127" s="21"/>
      <c r="BG127" s="21"/>
      <c r="BH127" s="21"/>
      <c r="BI127" s="21"/>
      <c r="BJ127" s="21"/>
      <c r="BK127" s="21"/>
    </row>
    <row r="128" spans="1:63" s="1" customFormat="1" ht="15" thickBot="1" x14ac:dyDescent="0.45">
      <c r="A128" s="1" t="s">
        <v>213</v>
      </c>
      <c r="G128" s="60"/>
      <c r="H128" s="60"/>
      <c r="I128" s="60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21"/>
      <c r="BG128" s="21"/>
      <c r="BH128" s="21"/>
      <c r="BI128" s="21"/>
      <c r="BJ128" s="21"/>
      <c r="BK128" s="21"/>
    </row>
    <row r="129" spans="1:63" s="65" customFormat="1" x14ac:dyDescent="0.4">
      <c r="A129" s="65" t="s">
        <v>0</v>
      </c>
      <c r="B129" s="66" t="s">
        <v>2</v>
      </c>
      <c r="C129" s="67" t="s">
        <v>1</v>
      </c>
      <c r="D129" s="67" t="s">
        <v>113</v>
      </c>
      <c r="E129" s="11" t="s">
        <v>69</v>
      </c>
      <c r="F129" s="65" t="s">
        <v>180</v>
      </c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  <c r="AJ129" s="59"/>
      <c r="AK129" s="59"/>
      <c r="AL129" s="59"/>
      <c r="AM129" s="59"/>
      <c r="AN129" s="59"/>
      <c r="AO129" s="59"/>
      <c r="AP129" s="59"/>
      <c r="AQ129" s="59"/>
      <c r="AR129" s="59"/>
      <c r="AS129" s="59"/>
      <c r="AT129" s="59"/>
      <c r="AU129" s="59"/>
      <c r="AV129" s="59"/>
      <c r="AW129" s="59"/>
      <c r="AX129" s="59"/>
      <c r="AY129" s="59"/>
      <c r="AZ129" s="59"/>
      <c r="BA129" s="59"/>
      <c r="BB129" s="59"/>
      <c r="BC129" s="59"/>
      <c r="BD129" s="59"/>
      <c r="BE129" s="59"/>
      <c r="BF129" s="59"/>
      <c r="BG129" s="59"/>
      <c r="BH129" s="59"/>
      <c r="BI129" s="59"/>
      <c r="BJ129" s="59"/>
      <c r="BK129" s="59"/>
    </row>
    <row r="130" spans="1:63" s="65" customFormat="1" x14ac:dyDescent="0.4">
      <c r="A130" s="65" t="s">
        <v>3</v>
      </c>
      <c r="B130" s="70">
        <v>3.1</v>
      </c>
      <c r="C130" s="71">
        <v>6992.7</v>
      </c>
      <c r="D130" s="72">
        <f>C130/C132</f>
        <v>53.298018292682933</v>
      </c>
      <c r="E130" s="74">
        <f>(D131+0.0045)/0.0056</f>
        <v>2.6546167247386765</v>
      </c>
      <c r="F130" s="97">
        <f>(C131/(C130+C131))</f>
        <v>1.9445071961064105E-4</v>
      </c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  <c r="AJ130" s="59"/>
      <c r="AK130" s="59"/>
      <c r="AL130" s="59"/>
      <c r="AM130" s="59"/>
      <c r="AN130" s="59"/>
      <c r="AO130" s="59"/>
      <c r="AP130" s="59"/>
      <c r="AQ130" s="59"/>
      <c r="AR130" s="59"/>
      <c r="AS130" s="59"/>
      <c r="AT130" s="59"/>
      <c r="AU130" s="59"/>
      <c r="AV130" s="59"/>
      <c r="AW130" s="59"/>
      <c r="AX130" s="59"/>
      <c r="AY130" s="59"/>
      <c r="AZ130" s="59"/>
      <c r="BA130" s="59"/>
      <c r="BB130" s="59"/>
      <c r="BC130" s="59"/>
      <c r="BD130" s="59"/>
      <c r="BE130" s="59"/>
      <c r="BF130" s="59"/>
      <c r="BG130" s="59"/>
      <c r="BH130" s="59"/>
      <c r="BI130" s="59"/>
      <c r="BJ130" s="59"/>
      <c r="BK130" s="59"/>
    </row>
    <row r="131" spans="1:63" s="65" customFormat="1" x14ac:dyDescent="0.4">
      <c r="A131" s="65" t="s">
        <v>5</v>
      </c>
      <c r="B131" s="70">
        <v>4.83</v>
      </c>
      <c r="C131" s="71">
        <v>1.36</v>
      </c>
      <c r="D131" s="31">
        <f>C131/C132</f>
        <v>1.0365853658536588E-2</v>
      </c>
      <c r="E131" s="74"/>
      <c r="F131" s="72"/>
      <c r="G131" s="59"/>
      <c r="H131" s="59"/>
      <c r="I131" s="59"/>
      <c r="J131" s="59"/>
      <c r="K131" s="59"/>
      <c r="L131" s="8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89"/>
      <c r="AI131" s="59"/>
      <c r="AJ131" s="59"/>
      <c r="AK131" s="59"/>
      <c r="AL131" s="59"/>
      <c r="AM131" s="59"/>
      <c r="AN131" s="59"/>
      <c r="AO131" s="59"/>
      <c r="AP131" s="59"/>
      <c r="AQ131" s="59"/>
      <c r="AR131" s="59"/>
      <c r="AS131" s="59"/>
      <c r="AT131" s="59"/>
      <c r="AU131" s="59"/>
      <c r="AV131" s="59"/>
      <c r="AW131" s="59"/>
      <c r="AX131" s="59"/>
      <c r="AY131" s="59"/>
      <c r="AZ131" s="59"/>
      <c r="BA131" s="59"/>
      <c r="BB131" s="59"/>
      <c r="BC131" s="59"/>
      <c r="BD131" s="59"/>
      <c r="BE131" s="59"/>
      <c r="BF131" s="59"/>
      <c r="BG131" s="59"/>
      <c r="BH131" s="59"/>
      <c r="BI131" s="59"/>
      <c r="BJ131" s="59"/>
      <c r="BK131" s="59"/>
    </row>
    <row r="132" spans="1:63" s="65" customFormat="1" ht="15" thickBot="1" x14ac:dyDescent="0.45">
      <c r="A132" s="65" t="s">
        <v>4</v>
      </c>
      <c r="B132" s="75">
        <v>6.2119999999999997</v>
      </c>
      <c r="C132" s="76">
        <v>131.19999999999999</v>
      </c>
      <c r="D132" s="76"/>
      <c r="E132" s="77"/>
      <c r="F132" s="100">
        <f>C132/(C130+C131+C132)</f>
        <v>1.8413363161484633E-2</v>
      </c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9"/>
      <c r="AN132" s="59"/>
      <c r="AO132" s="59"/>
      <c r="AP132" s="59"/>
      <c r="AQ132" s="59"/>
      <c r="AR132" s="59"/>
      <c r="AS132" s="59"/>
      <c r="AT132" s="59"/>
      <c r="AU132" s="59"/>
      <c r="AV132" s="59"/>
      <c r="AW132" s="59"/>
      <c r="AX132" s="59"/>
      <c r="AY132" s="59"/>
      <c r="AZ132" s="59"/>
      <c r="BA132" s="59"/>
      <c r="BB132" s="59"/>
      <c r="BC132" s="59"/>
      <c r="BD132" s="59"/>
      <c r="BE132" s="59"/>
      <c r="BF132" s="59"/>
      <c r="BG132" s="59"/>
      <c r="BH132" s="59"/>
      <c r="BI132" s="59"/>
      <c r="BJ132" s="59"/>
      <c r="BK132" s="59"/>
    </row>
    <row r="133" spans="1:63" s="78" customFormat="1" ht="15" thickBot="1" x14ac:dyDescent="0.45">
      <c r="A133" s="1" t="s">
        <v>214</v>
      </c>
      <c r="G133" s="87"/>
      <c r="H133" s="87"/>
      <c r="I133" s="87"/>
      <c r="J133" s="59"/>
      <c r="K133" s="59"/>
      <c r="L133" s="8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89"/>
      <c r="AI133" s="59"/>
      <c r="AJ133" s="59"/>
      <c r="AK133" s="59"/>
      <c r="AL133" s="59"/>
      <c r="AM133" s="59"/>
      <c r="AN133" s="59"/>
      <c r="AO133" s="59"/>
      <c r="AP133" s="59"/>
      <c r="AQ133" s="59"/>
      <c r="AR133" s="59"/>
      <c r="AS133" s="59"/>
      <c r="AT133" s="59"/>
      <c r="AU133" s="59"/>
      <c r="AV133" s="59"/>
      <c r="AW133" s="59"/>
      <c r="AX133" s="59"/>
      <c r="AY133" s="59"/>
      <c r="AZ133" s="59"/>
      <c r="BA133" s="59"/>
      <c r="BB133" s="59"/>
      <c r="BC133" s="59"/>
      <c r="BD133" s="59"/>
      <c r="BE133" s="59"/>
      <c r="BF133" s="59"/>
      <c r="BG133" s="59"/>
      <c r="BH133" s="59"/>
      <c r="BI133" s="59"/>
      <c r="BJ133" s="59"/>
      <c r="BK133" s="59"/>
    </row>
    <row r="134" spans="1:63" s="65" customFormat="1" x14ac:dyDescent="0.4">
      <c r="A134" s="65" t="s">
        <v>0</v>
      </c>
      <c r="B134" s="66" t="s">
        <v>2</v>
      </c>
      <c r="C134" s="67" t="s">
        <v>1</v>
      </c>
      <c r="D134" s="67" t="s">
        <v>113</v>
      </c>
      <c r="E134" s="11" t="s">
        <v>69</v>
      </c>
      <c r="F134" s="65" t="s">
        <v>180</v>
      </c>
      <c r="G134" s="87"/>
      <c r="H134" s="87"/>
      <c r="I134" s="87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  <c r="AO134" s="59"/>
      <c r="AP134" s="59"/>
      <c r="AQ134" s="59"/>
      <c r="AR134" s="59"/>
      <c r="AS134" s="59"/>
      <c r="AT134" s="59"/>
      <c r="AU134" s="59"/>
      <c r="AV134" s="59"/>
      <c r="AW134" s="59"/>
      <c r="AX134" s="59"/>
      <c r="AY134" s="59"/>
      <c r="AZ134" s="59"/>
      <c r="BA134" s="59"/>
      <c r="BB134" s="59"/>
      <c r="BC134" s="59"/>
      <c r="BD134" s="59"/>
      <c r="BE134" s="59"/>
      <c r="BF134" s="59"/>
      <c r="BG134" s="59"/>
      <c r="BH134" s="59"/>
      <c r="BI134" s="59"/>
      <c r="BJ134" s="59"/>
      <c r="BK134" s="59"/>
    </row>
    <row r="135" spans="1:63" s="65" customFormat="1" x14ac:dyDescent="0.4">
      <c r="A135" s="65" t="s">
        <v>3</v>
      </c>
      <c r="B135" s="70">
        <v>3.14</v>
      </c>
      <c r="C135" s="59">
        <v>6827</v>
      </c>
      <c r="D135" s="72">
        <f>C135/C137</f>
        <v>53.925750394944707</v>
      </c>
      <c r="E135" s="74">
        <f>(D136+0.0045)/0.0056</f>
        <v>3.582289550891447</v>
      </c>
      <c r="F135" s="97">
        <f>(C136/(C135+C136))</f>
        <v>2.8847688597255516E-4</v>
      </c>
      <c r="G135" s="87"/>
      <c r="H135" s="87"/>
      <c r="I135" s="87"/>
      <c r="J135" s="59"/>
      <c r="K135" s="59"/>
      <c r="L135" s="89"/>
      <c r="M135" s="59"/>
      <c r="N135" s="88"/>
      <c r="O135" s="88"/>
      <c r="P135" s="88"/>
      <c r="Q135" s="88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59"/>
      <c r="AD135" s="59"/>
      <c r="AE135" s="59"/>
      <c r="AF135" s="59"/>
      <c r="AG135" s="59"/>
      <c r="AH135" s="89"/>
      <c r="AI135" s="59"/>
      <c r="AJ135" s="88"/>
      <c r="AK135" s="88"/>
      <c r="AL135" s="88"/>
      <c r="AM135" s="88"/>
      <c r="AN135" s="59"/>
      <c r="AO135" s="59"/>
      <c r="AP135" s="59"/>
      <c r="AQ135" s="59"/>
      <c r="AR135" s="59"/>
      <c r="AS135" s="59"/>
      <c r="AT135" s="59"/>
      <c r="AU135" s="59"/>
      <c r="AV135" s="59"/>
      <c r="AW135" s="59"/>
      <c r="AX135" s="59"/>
      <c r="AY135" s="59"/>
      <c r="AZ135" s="59"/>
      <c r="BA135" s="59"/>
      <c r="BB135" s="59"/>
      <c r="BC135" s="59"/>
      <c r="BD135" s="59"/>
      <c r="BE135" s="59"/>
      <c r="BF135" s="59"/>
      <c r="BG135" s="59"/>
      <c r="BH135" s="59"/>
      <c r="BI135" s="59"/>
      <c r="BJ135" s="59"/>
      <c r="BK135" s="59"/>
    </row>
    <row r="136" spans="1:63" s="65" customFormat="1" x14ac:dyDescent="0.4">
      <c r="A136" s="65" t="s">
        <v>5</v>
      </c>
      <c r="B136" s="70">
        <v>4.83</v>
      </c>
      <c r="C136" s="59">
        <v>1.97</v>
      </c>
      <c r="D136" s="31">
        <f>C136/C137</f>
        <v>1.5560821484992101E-2</v>
      </c>
      <c r="E136" s="74"/>
      <c r="F136" s="72"/>
      <c r="G136" s="87"/>
      <c r="H136" s="87"/>
      <c r="I136" s="87"/>
      <c r="J136" s="59"/>
      <c r="K136" s="59"/>
      <c r="L136" s="59"/>
      <c r="M136" s="59"/>
      <c r="N136" s="91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  <c r="AJ136" s="91"/>
      <c r="AK136" s="59"/>
      <c r="AL136" s="59"/>
      <c r="AM136" s="59"/>
      <c r="AN136" s="59"/>
      <c r="AO136" s="59"/>
      <c r="AP136" s="59"/>
      <c r="AQ136" s="59"/>
      <c r="AR136" s="59"/>
      <c r="AS136" s="59"/>
      <c r="AT136" s="59"/>
      <c r="AU136" s="59"/>
      <c r="AV136" s="59"/>
      <c r="AW136" s="59"/>
      <c r="AX136" s="59"/>
      <c r="AY136" s="59"/>
      <c r="AZ136" s="59"/>
      <c r="BA136" s="59"/>
      <c r="BB136" s="59"/>
      <c r="BC136" s="59"/>
      <c r="BD136" s="59"/>
      <c r="BE136" s="59"/>
      <c r="BF136" s="59"/>
      <c r="BG136" s="59"/>
      <c r="BH136" s="59"/>
      <c r="BI136" s="59"/>
      <c r="BJ136" s="59"/>
      <c r="BK136" s="59"/>
    </row>
    <row r="137" spans="1:63" s="65" customFormat="1" ht="15" thickBot="1" x14ac:dyDescent="0.45">
      <c r="A137" s="65" t="s">
        <v>4</v>
      </c>
      <c r="B137" s="75">
        <v>6.2119999999999997</v>
      </c>
      <c r="C137" s="76">
        <v>126.6</v>
      </c>
      <c r="D137" s="76"/>
      <c r="E137" s="77"/>
      <c r="F137" s="100">
        <f>C137/(C135+C136+C137)</f>
        <v>1.8201240157169001E-2</v>
      </c>
      <c r="G137" s="87"/>
      <c r="H137" s="87"/>
      <c r="I137" s="87"/>
      <c r="J137" s="59"/>
      <c r="K137" s="59"/>
      <c r="L137" s="89"/>
      <c r="M137" s="59"/>
      <c r="N137" s="88"/>
      <c r="O137" s="88"/>
      <c r="P137" s="88"/>
      <c r="Q137" s="88"/>
      <c r="R137" s="59"/>
      <c r="S137" s="59"/>
      <c r="T137" s="59"/>
      <c r="U137" s="59"/>
      <c r="V137" s="59"/>
      <c r="W137" s="59"/>
      <c r="X137" s="59"/>
      <c r="Y137" s="59"/>
      <c r="Z137" s="59"/>
      <c r="AA137" s="59"/>
      <c r="AB137" s="59"/>
      <c r="AC137" s="59"/>
      <c r="AD137" s="59"/>
      <c r="AE137" s="59"/>
      <c r="AF137" s="59"/>
      <c r="AG137" s="59"/>
      <c r="AH137" s="89"/>
      <c r="AI137" s="59"/>
      <c r="AJ137" s="88"/>
      <c r="AK137" s="88"/>
      <c r="AL137" s="88"/>
      <c r="AM137" s="88"/>
      <c r="AN137" s="59"/>
      <c r="AO137" s="59"/>
      <c r="AP137" s="59"/>
      <c r="AQ137" s="59"/>
      <c r="AR137" s="59"/>
      <c r="AS137" s="59"/>
      <c r="AT137" s="59"/>
      <c r="AU137" s="59"/>
      <c r="AV137" s="59"/>
      <c r="AW137" s="59"/>
      <c r="AX137" s="59"/>
      <c r="AY137" s="59"/>
      <c r="AZ137" s="59"/>
      <c r="BA137" s="59"/>
      <c r="BB137" s="59"/>
      <c r="BC137" s="59"/>
      <c r="BD137" s="59"/>
      <c r="BE137" s="59"/>
      <c r="BF137" s="59"/>
      <c r="BG137" s="59"/>
      <c r="BH137" s="59"/>
      <c r="BI137" s="59"/>
      <c r="BJ137" s="59"/>
      <c r="BK137" s="59"/>
    </row>
    <row r="138" spans="1:63" s="78" customFormat="1" ht="15" thickBot="1" x14ac:dyDescent="0.45">
      <c r="A138" s="1" t="s">
        <v>215</v>
      </c>
      <c r="F138" s="79"/>
      <c r="G138" s="87"/>
      <c r="H138" s="87"/>
      <c r="I138" s="87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W138" s="59"/>
      <c r="X138" s="59"/>
      <c r="Y138" s="59"/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  <c r="AJ138" s="59"/>
      <c r="AK138" s="59"/>
      <c r="AL138" s="59"/>
      <c r="AM138" s="59"/>
      <c r="AN138" s="59"/>
      <c r="AO138" s="59"/>
      <c r="AP138" s="59"/>
      <c r="AQ138" s="59"/>
      <c r="AR138" s="59"/>
      <c r="AS138" s="59"/>
      <c r="AT138" s="59"/>
      <c r="AU138" s="59"/>
      <c r="AV138" s="59"/>
      <c r="AW138" s="59"/>
      <c r="AX138" s="59"/>
      <c r="AY138" s="59"/>
      <c r="AZ138" s="59"/>
      <c r="BA138" s="59"/>
      <c r="BB138" s="59"/>
      <c r="BC138" s="59"/>
      <c r="BD138" s="59"/>
      <c r="BE138" s="59"/>
      <c r="BF138" s="59"/>
      <c r="BG138" s="59"/>
      <c r="BH138" s="59"/>
      <c r="BI138" s="59"/>
      <c r="BJ138" s="59"/>
      <c r="BK138" s="59"/>
    </row>
    <row r="139" spans="1:63" x14ac:dyDescent="0.4">
      <c r="A139" t="s">
        <v>0</v>
      </c>
      <c r="B139" s="66" t="s">
        <v>2</v>
      </c>
      <c r="C139" s="67" t="s">
        <v>1</v>
      </c>
      <c r="D139" s="67" t="s">
        <v>113</v>
      </c>
      <c r="E139" s="11" t="s">
        <v>69</v>
      </c>
      <c r="F139" s="65" t="s">
        <v>180</v>
      </c>
      <c r="G139" s="21"/>
      <c r="H139" s="21"/>
      <c r="I139" s="21"/>
      <c r="J139" s="59"/>
      <c r="K139" s="59"/>
      <c r="L139" s="59"/>
      <c r="AF139" s="59"/>
      <c r="AG139" s="59"/>
      <c r="AH139" s="59"/>
    </row>
    <row r="140" spans="1:63" x14ac:dyDescent="0.4">
      <c r="A140" t="s">
        <v>3</v>
      </c>
      <c r="B140" s="18">
        <v>3.1</v>
      </c>
      <c r="C140" s="59">
        <v>6595</v>
      </c>
      <c r="D140" s="8">
        <f>C140/C142</f>
        <v>54.190632703368941</v>
      </c>
      <c r="E140" s="74">
        <f>(D141+0.0045)/0.0056</f>
        <v>6.8342088273271511</v>
      </c>
      <c r="F140" s="97">
        <f>(C141/(C140+C141))</f>
        <v>6.2281125788174474E-4</v>
      </c>
      <c r="G140" s="21"/>
      <c r="H140" s="21"/>
      <c r="I140" s="21"/>
      <c r="M140" s="59"/>
      <c r="N140" s="59"/>
      <c r="AI140" s="59"/>
      <c r="AJ140" s="59"/>
    </row>
    <row r="141" spans="1:63" x14ac:dyDescent="0.4">
      <c r="A141" t="s">
        <v>5</v>
      </c>
      <c r="B141" s="18">
        <v>4.83</v>
      </c>
      <c r="C141" s="59">
        <v>4.1100000000000003</v>
      </c>
      <c r="D141" s="32">
        <f>C141/C142</f>
        <v>3.3771569433032049E-2</v>
      </c>
      <c r="E141" s="13"/>
      <c r="F141" s="72"/>
      <c r="G141" s="21"/>
      <c r="H141" s="21"/>
      <c r="I141" s="21"/>
    </row>
    <row r="142" spans="1:63" ht="15" thickBot="1" x14ac:dyDescent="0.45">
      <c r="A142" t="s">
        <v>4</v>
      </c>
      <c r="B142" s="20">
        <v>6.2119999999999997</v>
      </c>
      <c r="C142" s="16">
        <v>121.7</v>
      </c>
      <c r="D142" s="16"/>
      <c r="E142" s="24"/>
      <c r="F142" s="100">
        <f>C142/(C140+C141+C142)</f>
        <v>1.8107936394571488E-2</v>
      </c>
      <c r="G142" s="21"/>
      <c r="H142" s="21"/>
      <c r="I142" s="21"/>
    </row>
    <row r="143" spans="1:63" s="1" customFormat="1" ht="15" thickBot="1" x14ac:dyDescent="0.45">
      <c r="A143" s="1" t="s">
        <v>216</v>
      </c>
      <c r="F143" s="64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1"/>
      <c r="BE143" s="21"/>
      <c r="BF143" s="21"/>
      <c r="BG143" s="21"/>
      <c r="BH143" s="21"/>
      <c r="BI143" s="21"/>
      <c r="BJ143" s="21"/>
      <c r="BK143" s="21"/>
    </row>
    <row r="144" spans="1:63" x14ac:dyDescent="0.4">
      <c r="A144" t="s">
        <v>0</v>
      </c>
      <c r="B144" s="66" t="s">
        <v>2</v>
      </c>
      <c r="C144" s="67" t="s">
        <v>1</v>
      </c>
      <c r="D144" s="67" t="s">
        <v>113</v>
      </c>
      <c r="E144" s="11" t="s">
        <v>69</v>
      </c>
      <c r="F144" s="65" t="s">
        <v>180</v>
      </c>
      <c r="G144" s="21"/>
      <c r="H144" s="21"/>
      <c r="I144" s="21"/>
    </row>
    <row r="145" spans="1:63" x14ac:dyDescent="0.4">
      <c r="A145" t="s">
        <v>3</v>
      </c>
      <c r="B145" s="18">
        <v>3.1</v>
      </c>
      <c r="C145" s="59">
        <v>6830.3</v>
      </c>
      <c r="D145" s="8">
        <f>C145/C147</f>
        <v>53.994466403162058</v>
      </c>
      <c r="E145" s="74">
        <f>(D146+0.0045)/0.0056</f>
        <v>8.4263833992094863</v>
      </c>
      <c r="F145" s="97">
        <f>(C146/(C145+C146))</f>
        <v>7.8997030296824031E-4</v>
      </c>
      <c r="G145" s="21"/>
      <c r="H145" s="21"/>
      <c r="I145" s="21"/>
    </row>
    <row r="146" spans="1:63" x14ac:dyDescent="0.4">
      <c r="A146" t="s">
        <v>5</v>
      </c>
      <c r="B146" s="18">
        <v>4.83</v>
      </c>
      <c r="C146" s="59">
        <v>5.4</v>
      </c>
      <c r="D146" s="32">
        <f>C146/C147</f>
        <v>4.2687747035573126E-2</v>
      </c>
      <c r="E146" s="13"/>
      <c r="F146" s="72"/>
      <c r="G146" s="21"/>
      <c r="H146" s="21"/>
      <c r="I146" s="21"/>
    </row>
    <row r="147" spans="1:63" ht="15" thickBot="1" x14ac:dyDescent="0.45">
      <c r="A147" t="s">
        <v>4</v>
      </c>
      <c r="B147" s="20">
        <v>6.2119999999999997</v>
      </c>
      <c r="C147" s="16">
        <v>126.5</v>
      </c>
      <c r="D147" s="16"/>
      <c r="E147" s="24"/>
      <c r="F147" s="100">
        <f>C147/(C145+C146+C147)</f>
        <v>1.8169544109620524E-2</v>
      </c>
    </row>
    <row r="148" spans="1:63" s="4" customFormat="1" x14ac:dyDescent="0.4">
      <c r="A148" s="4" t="s">
        <v>186</v>
      </c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21"/>
      <c r="BG148" s="21"/>
      <c r="BH148" s="21"/>
      <c r="BI148" s="21"/>
      <c r="BJ148" s="21"/>
      <c r="BK148" s="21"/>
    </row>
    <row r="149" spans="1:63" s="1" customFormat="1" ht="15" thickBot="1" x14ac:dyDescent="0.45">
      <c r="A149" s="1" t="s">
        <v>217</v>
      </c>
      <c r="G149" s="60"/>
      <c r="H149" s="60"/>
      <c r="I149" s="60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"/>
      <c r="BE149" s="21"/>
      <c r="BF149" s="21"/>
      <c r="BG149" s="21"/>
      <c r="BH149" s="21"/>
      <c r="BI149" s="21"/>
      <c r="BJ149" s="21"/>
      <c r="BK149" s="21"/>
    </row>
    <row r="150" spans="1:63" s="65" customFormat="1" x14ac:dyDescent="0.4">
      <c r="A150" s="65" t="s">
        <v>0</v>
      </c>
      <c r="B150" s="66" t="s">
        <v>2</v>
      </c>
      <c r="C150" s="67" t="s">
        <v>1</v>
      </c>
      <c r="D150" s="67" t="s">
        <v>113</v>
      </c>
      <c r="E150" s="11" t="s">
        <v>69</v>
      </c>
      <c r="F150" s="65" t="s">
        <v>180</v>
      </c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  <c r="AK150" s="59"/>
      <c r="AL150" s="59"/>
      <c r="AM150" s="59"/>
      <c r="AN150" s="59"/>
      <c r="AO150" s="59"/>
      <c r="AP150" s="59"/>
      <c r="AQ150" s="59"/>
      <c r="AR150" s="59"/>
      <c r="AS150" s="59"/>
      <c r="AT150" s="59"/>
      <c r="AU150" s="59"/>
      <c r="AV150" s="59"/>
      <c r="AW150" s="59"/>
      <c r="AX150" s="59"/>
      <c r="AY150" s="59"/>
      <c r="AZ150" s="59"/>
      <c r="BA150" s="59"/>
      <c r="BB150" s="59"/>
      <c r="BC150" s="59"/>
      <c r="BD150" s="59"/>
      <c r="BE150" s="59"/>
      <c r="BF150" s="59"/>
      <c r="BG150" s="59"/>
      <c r="BH150" s="59"/>
      <c r="BI150" s="59"/>
      <c r="BJ150" s="59"/>
      <c r="BK150" s="59"/>
    </row>
    <row r="151" spans="1:63" s="65" customFormat="1" x14ac:dyDescent="0.4">
      <c r="A151" s="65" t="s">
        <v>3</v>
      </c>
      <c r="B151" s="70">
        <v>3.1</v>
      </c>
      <c r="C151" s="71">
        <v>6851.8</v>
      </c>
      <c r="D151" s="72">
        <f>C151/C153</f>
        <v>52.746728252501924</v>
      </c>
      <c r="E151" s="74">
        <f>(D152+0.0045)/0.0056</f>
        <v>2.3982046629275264</v>
      </c>
      <c r="F151" s="97">
        <f>(C152/(C151+C152))</f>
        <v>1.6926992131867103E-4</v>
      </c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  <c r="AJ151" s="59"/>
      <c r="AK151" s="59"/>
      <c r="AL151" s="59"/>
      <c r="AM151" s="59"/>
      <c r="AN151" s="59"/>
      <c r="AO151" s="59"/>
      <c r="AP151" s="59"/>
      <c r="AQ151" s="59"/>
      <c r="AR151" s="59"/>
      <c r="AS151" s="59"/>
      <c r="AT151" s="59"/>
      <c r="AU151" s="59"/>
      <c r="AV151" s="59"/>
      <c r="AW151" s="59"/>
      <c r="AX151" s="59"/>
      <c r="AY151" s="59"/>
      <c r="AZ151" s="59"/>
      <c r="BA151" s="59"/>
      <c r="BB151" s="59"/>
      <c r="BC151" s="59"/>
      <c r="BD151" s="59"/>
      <c r="BE151" s="59"/>
      <c r="BF151" s="59"/>
      <c r="BG151" s="59"/>
      <c r="BH151" s="59"/>
      <c r="BI151" s="59"/>
      <c r="BJ151" s="59"/>
      <c r="BK151" s="59"/>
    </row>
    <row r="152" spans="1:63" s="65" customFormat="1" x14ac:dyDescent="0.4">
      <c r="A152" s="65" t="s">
        <v>5</v>
      </c>
      <c r="B152" s="70">
        <v>4.83</v>
      </c>
      <c r="C152" s="71">
        <v>1.1599999999999999</v>
      </c>
      <c r="D152" s="31">
        <f>C152/C153</f>
        <v>8.9299461123941489E-3</v>
      </c>
      <c r="E152" s="74"/>
      <c r="F152" s="72"/>
      <c r="G152" s="59"/>
      <c r="H152" s="59"/>
      <c r="I152" s="59"/>
      <c r="J152" s="59"/>
      <c r="K152" s="59"/>
      <c r="L152" s="8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  <c r="AE152" s="59"/>
      <c r="AF152" s="59"/>
      <c r="AG152" s="59"/>
      <c r="AH152" s="89"/>
      <c r="AI152" s="59"/>
      <c r="AJ152" s="59"/>
      <c r="AK152" s="59"/>
      <c r="AL152" s="59"/>
      <c r="AM152" s="59"/>
      <c r="AN152" s="59"/>
      <c r="AO152" s="59"/>
      <c r="AP152" s="59"/>
      <c r="AQ152" s="59"/>
      <c r="AR152" s="59"/>
      <c r="AS152" s="59"/>
      <c r="AT152" s="59"/>
      <c r="AU152" s="59"/>
      <c r="AV152" s="59"/>
      <c r="AW152" s="59"/>
      <c r="AX152" s="59"/>
      <c r="AY152" s="59"/>
      <c r="AZ152" s="59"/>
      <c r="BA152" s="59"/>
      <c r="BB152" s="59"/>
      <c r="BC152" s="59"/>
      <c r="BD152" s="59"/>
      <c r="BE152" s="59"/>
      <c r="BF152" s="59"/>
      <c r="BG152" s="59"/>
      <c r="BH152" s="59"/>
      <c r="BI152" s="59"/>
      <c r="BJ152" s="59"/>
      <c r="BK152" s="59"/>
    </row>
    <row r="153" spans="1:63" s="65" customFormat="1" ht="15" thickBot="1" x14ac:dyDescent="0.45">
      <c r="A153" s="65" t="s">
        <v>4</v>
      </c>
      <c r="B153" s="75">
        <v>6.2119999999999997</v>
      </c>
      <c r="C153" s="76">
        <v>129.9</v>
      </c>
      <c r="D153" s="76"/>
      <c r="E153" s="77"/>
      <c r="F153" s="100">
        <f>C153/(C151+C152+C153)</f>
        <v>1.86026928794219E-2</v>
      </c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  <c r="AJ153" s="59"/>
      <c r="AK153" s="59"/>
      <c r="AL153" s="59"/>
      <c r="AM153" s="59"/>
      <c r="AN153" s="59"/>
      <c r="AO153" s="59"/>
      <c r="AP153" s="59"/>
      <c r="AQ153" s="59"/>
      <c r="AR153" s="59"/>
      <c r="AS153" s="59"/>
      <c r="AT153" s="59"/>
      <c r="AU153" s="59"/>
      <c r="AV153" s="59"/>
      <c r="AW153" s="59"/>
      <c r="AX153" s="59"/>
      <c r="AY153" s="59"/>
      <c r="AZ153" s="59"/>
      <c r="BA153" s="59"/>
      <c r="BB153" s="59"/>
      <c r="BC153" s="59"/>
      <c r="BD153" s="59"/>
      <c r="BE153" s="59"/>
      <c r="BF153" s="59"/>
      <c r="BG153" s="59"/>
      <c r="BH153" s="59"/>
      <c r="BI153" s="59"/>
      <c r="BJ153" s="59"/>
      <c r="BK153" s="59"/>
    </row>
    <row r="154" spans="1:63" s="78" customFormat="1" ht="15" thickBot="1" x14ac:dyDescent="0.45">
      <c r="A154" s="1" t="s">
        <v>218</v>
      </c>
      <c r="G154" s="87"/>
      <c r="H154" s="87"/>
      <c r="I154" s="87"/>
      <c r="J154" s="59"/>
      <c r="K154" s="59"/>
      <c r="L154" s="8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59"/>
      <c r="AD154" s="59"/>
      <c r="AE154" s="59"/>
      <c r="AF154" s="59"/>
      <c r="AG154" s="59"/>
      <c r="AH154" s="89"/>
      <c r="AI154" s="59"/>
      <c r="AJ154" s="59"/>
      <c r="AK154" s="59"/>
      <c r="AL154" s="59"/>
      <c r="AM154" s="59"/>
      <c r="AN154" s="59"/>
      <c r="AO154" s="59"/>
      <c r="AP154" s="59"/>
      <c r="AQ154" s="59"/>
      <c r="AR154" s="59"/>
      <c r="AS154" s="59"/>
      <c r="AT154" s="59"/>
      <c r="AU154" s="59"/>
      <c r="AV154" s="59"/>
      <c r="AW154" s="59"/>
      <c r="AX154" s="59"/>
      <c r="AY154" s="59"/>
      <c r="AZ154" s="59"/>
      <c r="BA154" s="59"/>
      <c r="BB154" s="59"/>
      <c r="BC154" s="59"/>
      <c r="BD154" s="59"/>
      <c r="BE154" s="59"/>
      <c r="BF154" s="59"/>
      <c r="BG154" s="59"/>
      <c r="BH154" s="59"/>
      <c r="BI154" s="59"/>
      <c r="BJ154" s="59"/>
      <c r="BK154" s="59"/>
    </row>
    <row r="155" spans="1:63" s="65" customFormat="1" x14ac:dyDescent="0.4">
      <c r="A155" s="65" t="s">
        <v>0</v>
      </c>
      <c r="B155" s="66" t="s">
        <v>2</v>
      </c>
      <c r="C155" s="67" t="s">
        <v>1</v>
      </c>
      <c r="D155" s="67" t="s">
        <v>113</v>
      </c>
      <c r="E155" s="11" t="s">
        <v>69</v>
      </c>
      <c r="F155" s="65" t="s">
        <v>180</v>
      </c>
      <c r="G155" s="87"/>
      <c r="H155" s="87"/>
      <c r="I155" s="87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  <c r="AJ155" s="59"/>
      <c r="AK155" s="59"/>
      <c r="AL155" s="59"/>
      <c r="AM155" s="59"/>
      <c r="AN155" s="59"/>
      <c r="AO155" s="59"/>
      <c r="AP155" s="59"/>
      <c r="AQ155" s="59"/>
      <c r="AR155" s="59"/>
      <c r="AS155" s="59"/>
      <c r="AT155" s="59"/>
      <c r="AU155" s="59"/>
      <c r="AV155" s="59"/>
      <c r="AW155" s="59"/>
      <c r="AX155" s="59"/>
      <c r="AY155" s="59"/>
      <c r="AZ155" s="59"/>
      <c r="BA155" s="59"/>
      <c r="BB155" s="59"/>
      <c r="BC155" s="59"/>
      <c r="BD155" s="59"/>
      <c r="BE155" s="59"/>
      <c r="BF155" s="59"/>
      <c r="BG155" s="59"/>
      <c r="BH155" s="59"/>
      <c r="BI155" s="59"/>
      <c r="BJ155" s="59"/>
      <c r="BK155" s="59"/>
    </row>
    <row r="156" spans="1:63" s="65" customFormat="1" x14ac:dyDescent="0.4">
      <c r="A156" s="65" t="s">
        <v>3</v>
      </c>
      <c r="B156" s="70">
        <v>3.14</v>
      </c>
      <c r="C156" s="59">
        <v>6778.1</v>
      </c>
      <c r="D156" s="72">
        <f>C156/C158</f>
        <v>54.008764940239047</v>
      </c>
      <c r="E156" s="74">
        <f>(D157+0.0045)/0.0056</f>
        <v>3.4643568582811612</v>
      </c>
      <c r="F156" s="97">
        <f>(C157/(C156+C157))</f>
        <v>2.7581242984850966E-4</v>
      </c>
      <c r="G156" s="87"/>
      <c r="H156" s="87"/>
      <c r="I156" s="87"/>
      <c r="J156" s="59"/>
      <c r="K156" s="59"/>
      <c r="L156" s="89"/>
      <c r="M156" s="59"/>
      <c r="N156" s="88"/>
      <c r="O156" s="88"/>
      <c r="P156" s="88"/>
      <c r="Q156" s="88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59"/>
      <c r="AD156" s="59"/>
      <c r="AE156" s="59"/>
      <c r="AF156" s="59"/>
      <c r="AG156" s="59"/>
      <c r="AH156" s="89"/>
      <c r="AI156" s="59"/>
      <c r="AJ156" s="88"/>
      <c r="AK156" s="88"/>
      <c r="AL156" s="88"/>
      <c r="AM156" s="88"/>
      <c r="AN156" s="59"/>
      <c r="AO156" s="59"/>
      <c r="AP156" s="59"/>
      <c r="AQ156" s="59"/>
      <c r="AR156" s="59"/>
      <c r="AS156" s="59"/>
      <c r="AT156" s="59"/>
      <c r="AU156" s="59"/>
      <c r="AV156" s="59"/>
      <c r="AW156" s="59"/>
      <c r="AX156" s="59"/>
      <c r="AY156" s="59"/>
      <c r="AZ156" s="59"/>
      <c r="BA156" s="59"/>
      <c r="BB156" s="59"/>
      <c r="BC156" s="59"/>
      <c r="BD156" s="59"/>
      <c r="BE156" s="59"/>
      <c r="BF156" s="59"/>
      <c r="BG156" s="59"/>
      <c r="BH156" s="59"/>
      <c r="BI156" s="59"/>
      <c r="BJ156" s="59"/>
      <c r="BK156" s="59"/>
    </row>
    <row r="157" spans="1:63" s="65" customFormat="1" x14ac:dyDescent="0.4">
      <c r="A157" s="65" t="s">
        <v>5</v>
      </c>
      <c r="B157" s="70">
        <v>4.83</v>
      </c>
      <c r="C157" s="59">
        <v>1.87</v>
      </c>
      <c r="D157" s="31">
        <f>C157/C158</f>
        <v>1.4900398406374502E-2</v>
      </c>
      <c r="E157" s="74"/>
      <c r="F157" s="72"/>
      <c r="G157" s="87"/>
      <c r="H157" s="87"/>
      <c r="I157" s="87"/>
      <c r="J157" s="59"/>
      <c r="K157" s="59"/>
      <c r="L157" s="59"/>
      <c r="M157" s="59"/>
      <c r="N157" s="91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  <c r="AJ157" s="91"/>
      <c r="AK157" s="59"/>
      <c r="AL157" s="59"/>
      <c r="AM157" s="59"/>
      <c r="AN157" s="59"/>
      <c r="AO157" s="59"/>
      <c r="AP157" s="59"/>
      <c r="AQ157" s="59"/>
      <c r="AR157" s="59"/>
      <c r="AS157" s="59"/>
      <c r="AT157" s="59"/>
      <c r="AU157" s="59"/>
      <c r="AV157" s="59"/>
      <c r="AW157" s="59"/>
      <c r="AX157" s="59"/>
      <c r="AY157" s="59"/>
      <c r="AZ157" s="59"/>
      <c r="BA157" s="59"/>
      <c r="BB157" s="59"/>
      <c r="BC157" s="59"/>
      <c r="BD157" s="59"/>
      <c r="BE157" s="59"/>
      <c r="BF157" s="59"/>
      <c r="BG157" s="59"/>
      <c r="BH157" s="59"/>
      <c r="BI157" s="59"/>
      <c r="BJ157" s="59"/>
      <c r="BK157" s="59"/>
    </row>
    <row r="158" spans="1:63" s="65" customFormat="1" ht="15" thickBot="1" x14ac:dyDescent="0.45">
      <c r="A158" s="65" t="s">
        <v>4</v>
      </c>
      <c r="B158" s="75">
        <v>6.2119999999999997</v>
      </c>
      <c r="C158" s="76">
        <v>125.5</v>
      </c>
      <c r="D158" s="76"/>
      <c r="E158" s="77"/>
      <c r="F158" s="100">
        <f>C158/(C156+C157+C158)</f>
        <v>1.8173998294105976E-2</v>
      </c>
      <c r="G158" s="87"/>
      <c r="H158" s="87"/>
      <c r="I158" s="87"/>
      <c r="J158" s="59"/>
      <c r="K158" s="59"/>
      <c r="L158" s="89"/>
      <c r="M158" s="59"/>
      <c r="N158" s="88"/>
      <c r="O158" s="88"/>
      <c r="P158" s="88"/>
      <c r="Q158" s="88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59"/>
      <c r="AD158" s="59"/>
      <c r="AE158" s="59"/>
      <c r="AF158" s="59"/>
      <c r="AG158" s="59"/>
      <c r="AH158" s="89"/>
      <c r="AI158" s="59"/>
      <c r="AJ158" s="88"/>
      <c r="AK158" s="88"/>
      <c r="AL158" s="88"/>
      <c r="AM158" s="88"/>
      <c r="AN158" s="59"/>
      <c r="AO158" s="59"/>
      <c r="AP158" s="59"/>
      <c r="AQ158" s="59"/>
      <c r="AR158" s="59"/>
      <c r="AS158" s="59"/>
      <c r="AT158" s="59"/>
      <c r="AU158" s="59"/>
      <c r="AV158" s="59"/>
      <c r="AW158" s="59"/>
      <c r="AX158" s="59"/>
      <c r="AY158" s="59"/>
      <c r="AZ158" s="59"/>
      <c r="BA158" s="59"/>
      <c r="BB158" s="59"/>
      <c r="BC158" s="59"/>
      <c r="BD158" s="59"/>
      <c r="BE158" s="59"/>
      <c r="BF158" s="59"/>
      <c r="BG158" s="59"/>
      <c r="BH158" s="59"/>
      <c r="BI158" s="59"/>
      <c r="BJ158" s="59"/>
      <c r="BK158" s="59"/>
    </row>
    <row r="159" spans="1:63" s="78" customFormat="1" ht="15" thickBot="1" x14ac:dyDescent="0.45">
      <c r="A159" s="1" t="s">
        <v>219</v>
      </c>
      <c r="F159" s="79"/>
      <c r="G159" s="87"/>
      <c r="H159" s="87"/>
      <c r="I159" s="87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  <c r="AK159" s="59"/>
      <c r="AL159" s="59"/>
      <c r="AM159" s="59"/>
      <c r="AN159" s="59"/>
      <c r="AO159" s="59"/>
      <c r="AP159" s="59"/>
      <c r="AQ159" s="59"/>
      <c r="AR159" s="59"/>
      <c r="AS159" s="59"/>
      <c r="AT159" s="59"/>
      <c r="AU159" s="59"/>
      <c r="AV159" s="59"/>
      <c r="AW159" s="59"/>
      <c r="AX159" s="59"/>
      <c r="AY159" s="59"/>
      <c r="AZ159" s="59"/>
      <c r="BA159" s="59"/>
      <c r="BB159" s="59"/>
      <c r="BC159" s="59"/>
      <c r="BD159" s="59"/>
      <c r="BE159" s="59"/>
      <c r="BF159" s="59"/>
      <c r="BG159" s="59"/>
      <c r="BH159" s="59"/>
      <c r="BI159" s="59"/>
      <c r="BJ159" s="59"/>
      <c r="BK159" s="59"/>
    </row>
    <row r="160" spans="1:63" x14ac:dyDescent="0.4">
      <c r="A160" t="s">
        <v>0</v>
      </c>
      <c r="B160" s="66" t="s">
        <v>2</v>
      </c>
      <c r="C160" s="67" t="s">
        <v>1</v>
      </c>
      <c r="D160" s="67" t="s">
        <v>113</v>
      </c>
      <c r="E160" s="11" t="s">
        <v>69</v>
      </c>
      <c r="F160" s="65" t="s">
        <v>180</v>
      </c>
      <c r="G160" s="21"/>
      <c r="H160" s="21"/>
      <c r="I160" s="21"/>
      <c r="J160" s="59"/>
      <c r="K160" s="59"/>
      <c r="L160" s="59"/>
      <c r="AF160" s="59"/>
      <c r="AG160" s="59"/>
      <c r="AH160" s="59"/>
    </row>
    <row r="161" spans="1:63" x14ac:dyDescent="0.4">
      <c r="A161" t="s">
        <v>3</v>
      </c>
      <c r="B161" s="18">
        <v>3.1</v>
      </c>
      <c r="C161" s="59">
        <v>6450.8</v>
      </c>
      <c r="D161" s="8">
        <f>C161/C163</f>
        <v>54.208403361344537</v>
      </c>
      <c r="E161" s="74">
        <f>(D162+0.0045)/0.0056</f>
        <v>6.1457082833133256</v>
      </c>
      <c r="F161" s="97">
        <f>(C162/(C161+C162))</f>
        <v>5.5156514356187133E-4</v>
      </c>
      <c r="G161" s="21"/>
      <c r="H161" s="21"/>
      <c r="I161" s="21"/>
      <c r="M161" s="59"/>
      <c r="N161" s="59"/>
      <c r="AI161" s="59"/>
      <c r="AJ161" s="59"/>
    </row>
    <row r="162" spans="1:63" x14ac:dyDescent="0.4">
      <c r="A162" t="s">
        <v>5</v>
      </c>
      <c r="B162" s="18">
        <v>4.83</v>
      </c>
      <c r="C162" s="59">
        <v>3.56</v>
      </c>
      <c r="D162" s="32">
        <f>C162/C163</f>
        <v>2.9915966386554624E-2</v>
      </c>
      <c r="E162" s="13"/>
      <c r="F162" s="72"/>
      <c r="G162" s="21"/>
      <c r="H162" s="21"/>
      <c r="I162" s="21"/>
    </row>
    <row r="163" spans="1:63" ht="15" thickBot="1" x14ac:dyDescent="0.45">
      <c r="A163" t="s">
        <v>4</v>
      </c>
      <c r="B163" s="20">
        <v>6.2119999999999997</v>
      </c>
      <c r="C163" s="16">
        <v>119</v>
      </c>
      <c r="D163" s="16"/>
      <c r="E163" s="24"/>
      <c r="F163" s="100">
        <f>C163/(C161+C162+C163)</f>
        <v>1.8103374834179169E-2</v>
      </c>
      <c r="G163" s="21"/>
      <c r="H163" s="21"/>
      <c r="I163" s="21"/>
    </row>
    <row r="164" spans="1:63" s="1" customFormat="1" ht="15" thickBot="1" x14ac:dyDescent="0.45">
      <c r="A164" s="1" t="s">
        <v>220</v>
      </c>
      <c r="F164" s="64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BE164" s="21"/>
      <c r="BF164" s="21"/>
      <c r="BG164" s="21"/>
      <c r="BH164" s="21"/>
      <c r="BI164" s="21"/>
      <c r="BJ164" s="21"/>
      <c r="BK164" s="21"/>
    </row>
    <row r="165" spans="1:63" x14ac:dyDescent="0.4">
      <c r="A165" t="s">
        <v>0</v>
      </c>
      <c r="B165" s="66" t="s">
        <v>2</v>
      </c>
      <c r="C165" s="67" t="s">
        <v>1</v>
      </c>
      <c r="D165" s="67" t="s">
        <v>113</v>
      </c>
      <c r="E165" s="11" t="s">
        <v>69</v>
      </c>
      <c r="F165" s="65" t="s">
        <v>180</v>
      </c>
      <c r="G165" s="21"/>
      <c r="H165" s="21"/>
      <c r="I165" s="21"/>
    </row>
    <row r="166" spans="1:63" x14ac:dyDescent="0.4">
      <c r="A166" t="s">
        <v>3</v>
      </c>
      <c r="B166" s="18">
        <v>3.1</v>
      </c>
      <c r="C166" s="59">
        <v>6540.7</v>
      </c>
      <c r="D166" s="8">
        <f>C166/C168</f>
        <v>54.189726594863295</v>
      </c>
      <c r="E166" s="74">
        <f>(D167+0.0045)/0.0056</f>
        <v>7.7422623979169138</v>
      </c>
      <c r="F166" s="97">
        <f>(C167/(C166+C167))</f>
        <v>7.1653484360748574E-4</v>
      </c>
      <c r="G166" s="21"/>
      <c r="H166" s="21"/>
      <c r="I166" s="21"/>
    </row>
    <row r="167" spans="1:63" x14ac:dyDescent="0.4">
      <c r="A167" t="s">
        <v>5</v>
      </c>
      <c r="B167" s="18">
        <v>4.83</v>
      </c>
      <c r="C167" s="59">
        <v>4.6900000000000004</v>
      </c>
      <c r="D167" s="32">
        <f>C167/C168</f>
        <v>3.8856669428334718E-2</v>
      </c>
      <c r="E167" s="13"/>
      <c r="F167" s="72"/>
      <c r="G167" s="21"/>
      <c r="H167" s="21"/>
      <c r="I167" s="21"/>
    </row>
    <row r="168" spans="1:63" ht="15" thickBot="1" x14ac:dyDescent="0.45">
      <c r="A168" t="s">
        <v>4</v>
      </c>
      <c r="B168" s="20">
        <v>6.2119999999999997</v>
      </c>
      <c r="C168" s="16">
        <v>120.7</v>
      </c>
      <c r="D168" s="16"/>
      <c r="E168" s="24"/>
      <c r="F168" s="100">
        <f>C168/(C166+C167+C168)</f>
        <v>1.8106566217977859E-2</v>
      </c>
    </row>
  </sheetData>
  <mergeCells count="20">
    <mergeCell ref="AH3:AL3"/>
    <mergeCell ref="AN3:AR3"/>
    <mergeCell ref="Q33:Q36"/>
    <mergeCell ref="R4:R7"/>
    <mergeCell ref="R8:R11"/>
    <mergeCell ref="R12:R15"/>
    <mergeCell ref="J4:K4"/>
    <mergeCell ref="J8:K8"/>
    <mergeCell ref="R37:R40"/>
    <mergeCell ref="R16:R19"/>
    <mergeCell ref="R25:R28"/>
    <mergeCell ref="Q37:Q40"/>
    <mergeCell ref="Q4:Q7"/>
    <mergeCell ref="Q8:Q11"/>
    <mergeCell ref="Q12:Q15"/>
    <mergeCell ref="Q16:Q19"/>
    <mergeCell ref="Q25:Q28"/>
    <mergeCell ref="Q29:Q32"/>
    <mergeCell ref="R29:R32"/>
    <mergeCell ref="R33:R3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D2BCE-E2B9-46A1-8DDD-A056D57FF8E4}">
  <dimension ref="A1:BK384"/>
  <sheetViews>
    <sheetView topLeftCell="A3" zoomScale="52" zoomScaleNormal="104" workbookViewId="0">
      <selection activeCell="L57" sqref="L57"/>
    </sheetView>
  </sheetViews>
  <sheetFormatPr defaultRowHeight="14.6" x14ac:dyDescent="0.4"/>
  <cols>
    <col min="12" max="12" width="14" customWidth="1"/>
    <col min="14" max="14" width="14.69140625" customWidth="1"/>
    <col min="17" max="17" width="12.921875" style="113" customWidth="1"/>
    <col min="33" max="33" width="13.15234375" customWidth="1"/>
    <col min="34" max="34" width="9.4609375" customWidth="1"/>
    <col min="36" max="36" width="11.61328125" customWidth="1"/>
    <col min="43" max="43" width="11" customWidth="1"/>
  </cols>
  <sheetData>
    <row r="1" spans="1:63" s="4" customFormat="1" x14ac:dyDescent="0.4">
      <c r="A1" s="4" t="s">
        <v>186</v>
      </c>
      <c r="J1" s="21"/>
      <c r="K1" s="21"/>
      <c r="L1" s="21"/>
      <c r="M1" s="21"/>
      <c r="N1" s="21"/>
      <c r="O1" s="21"/>
      <c r="P1" s="21"/>
      <c r="Q1" s="11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</row>
    <row r="2" spans="1:63" s="1" customFormat="1" ht="15" thickBot="1" x14ac:dyDescent="0.45">
      <c r="A2" s="1" t="s">
        <v>240</v>
      </c>
      <c r="G2" s="60"/>
      <c r="H2" s="60"/>
      <c r="I2" s="60"/>
      <c r="J2" s="21"/>
      <c r="K2" s="21"/>
      <c r="L2" s="21"/>
      <c r="M2" s="105" t="s">
        <v>279</v>
      </c>
      <c r="N2" s="105"/>
      <c r="O2" s="105"/>
      <c r="P2" s="105"/>
      <c r="Q2" s="112"/>
      <c r="R2" s="112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</row>
    <row r="3" spans="1:63" s="65" customFormat="1" x14ac:dyDescent="0.4">
      <c r="A3" s="65" t="s">
        <v>0</v>
      </c>
      <c r="B3" s="66" t="s">
        <v>2</v>
      </c>
      <c r="C3" s="67" t="s">
        <v>1</v>
      </c>
      <c r="D3" s="67" t="s">
        <v>113</v>
      </c>
      <c r="E3" s="11" t="s">
        <v>69</v>
      </c>
      <c r="F3" s="65" t="s">
        <v>180</v>
      </c>
      <c r="G3" s="21"/>
      <c r="H3" s="21"/>
      <c r="I3" s="59"/>
      <c r="J3" s="59"/>
      <c r="K3" s="59"/>
      <c r="L3" s="59"/>
      <c r="M3" s="105" t="s">
        <v>187</v>
      </c>
      <c r="N3" s="105" t="s">
        <v>272</v>
      </c>
      <c r="O3" s="105" t="s">
        <v>188</v>
      </c>
      <c r="P3" s="105" t="s">
        <v>208</v>
      </c>
      <c r="Q3" s="112" t="s">
        <v>294</v>
      </c>
      <c r="R3" s="112" t="s">
        <v>295</v>
      </c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105" t="s">
        <v>360</v>
      </c>
      <c r="AE3" s="105"/>
      <c r="AF3" s="115"/>
      <c r="AG3" s="115"/>
      <c r="AH3" s="115"/>
      <c r="AI3" s="115"/>
      <c r="AJ3" s="115"/>
      <c r="AK3" s="87"/>
      <c r="AL3" s="87"/>
      <c r="AM3" s="105" t="s">
        <v>361</v>
      </c>
      <c r="AN3" s="105"/>
      <c r="AO3" s="115"/>
      <c r="AP3" s="115"/>
      <c r="AQ3" s="115"/>
      <c r="AR3" s="115"/>
      <c r="AS3" s="115"/>
      <c r="AT3" s="114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</row>
    <row r="4" spans="1:63" s="65" customFormat="1" x14ac:dyDescent="0.4">
      <c r="A4" s="65" t="s">
        <v>3</v>
      </c>
      <c r="B4" s="70">
        <v>3.1</v>
      </c>
      <c r="C4" s="71">
        <v>6757.1</v>
      </c>
      <c r="D4" s="72">
        <f>C4/C6</f>
        <v>53.713036565977745</v>
      </c>
      <c r="E4" s="74">
        <f>(D5+0.0045)/0.0056</f>
        <v>0.80357142857142849</v>
      </c>
      <c r="F4" s="97">
        <f>(C5/(C4+C5))</f>
        <v>0</v>
      </c>
      <c r="G4" s="106"/>
      <c r="H4" s="106"/>
      <c r="I4" s="59"/>
      <c r="J4" s="59"/>
      <c r="K4" s="59"/>
      <c r="L4" s="108" t="s">
        <v>428</v>
      </c>
      <c r="M4" s="176" t="s">
        <v>99</v>
      </c>
      <c r="N4" s="166" t="s">
        <v>278</v>
      </c>
      <c r="O4" s="101">
        <v>0.5</v>
      </c>
      <c r="P4" s="102">
        <f>E132</f>
        <v>1.3059877416313059</v>
      </c>
      <c r="Q4" s="160">
        <f>(P6-P5)/0.5</f>
        <v>1.3553372448768251</v>
      </c>
      <c r="R4" s="160">
        <f>Q4/(0.251/1000)</f>
        <v>5399.7499795889453</v>
      </c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 t="s">
        <v>342</v>
      </c>
      <c r="AE4" s="59" t="s">
        <v>363</v>
      </c>
      <c r="AF4" s="59" t="s">
        <v>351</v>
      </c>
      <c r="AG4" s="59" t="s">
        <v>362</v>
      </c>
      <c r="AH4" s="59" t="s">
        <v>363</v>
      </c>
      <c r="AI4" s="59" t="s">
        <v>295</v>
      </c>
      <c r="AJ4" s="65" t="s">
        <v>365</v>
      </c>
      <c r="AK4" s="87"/>
      <c r="AL4" s="87"/>
      <c r="AM4" s="59" t="s">
        <v>342</v>
      </c>
      <c r="AN4" s="59" t="s">
        <v>363</v>
      </c>
      <c r="AO4" s="59" t="s">
        <v>351</v>
      </c>
      <c r="AP4" s="59" t="s">
        <v>355</v>
      </c>
      <c r="AQ4" s="59" t="s">
        <v>363</v>
      </c>
      <c r="AR4" s="59" t="s">
        <v>295</v>
      </c>
      <c r="AS4" s="65" t="s">
        <v>365</v>
      </c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</row>
    <row r="5" spans="1:63" s="65" customFormat="1" x14ac:dyDescent="0.4">
      <c r="A5" s="65" t="s">
        <v>5</v>
      </c>
      <c r="B5" s="70">
        <v>4.83</v>
      </c>
      <c r="C5" s="71">
        <v>0</v>
      </c>
      <c r="D5" s="31">
        <f>C5/C6</f>
        <v>0</v>
      </c>
      <c r="E5" s="74"/>
      <c r="F5" s="72"/>
      <c r="G5" s="59"/>
      <c r="H5" s="59"/>
      <c r="I5" s="59"/>
      <c r="J5" s="59"/>
      <c r="K5" s="59"/>
      <c r="L5" s="109">
        <f>D143</f>
        <v>7.6090468497576735E-3</v>
      </c>
      <c r="M5" s="176"/>
      <c r="N5" s="166"/>
      <c r="O5" s="101">
        <v>1</v>
      </c>
      <c r="P5" s="102">
        <f>E137</f>
        <v>1.484661172161172</v>
      </c>
      <c r="Q5" s="160"/>
      <c r="R5" s="160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101" t="s">
        <v>343</v>
      </c>
      <c r="AE5" s="101">
        <v>1</v>
      </c>
      <c r="AF5" s="118" t="s">
        <v>352</v>
      </c>
      <c r="AG5" s="101" t="s">
        <v>356</v>
      </c>
      <c r="AH5" s="101">
        <v>1</v>
      </c>
      <c r="AI5" s="119">
        <v>4180.1388831726499</v>
      </c>
      <c r="AJ5" s="120" t="s">
        <v>366</v>
      </c>
      <c r="AK5" s="87"/>
      <c r="AL5" s="87"/>
      <c r="AM5" s="101" t="s">
        <v>343</v>
      </c>
      <c r="AN5" s="122">
        <v>0.5</v>
      </c>
      <c r="AO5" s="118" t="s">
        <v>352</v>
      </c>
      <c r="AP5" s="101" t="s">
        <v>356</v>
      </c>
      <c r="AQ5" s="122">
        <v>0.5</v>
      </c>
      <c r="AR5" s="119">
        <v>12053.576684567888</v>
      </c>
      <c r="AS5" s="120" t="s">
        <v>366</v>
      </c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</row>
    <row r="6" spans="1:63" s="65" customFormat="1" ht="15" thickBot="1" x14ac:dyDescent="0.45">
      <c r="A6" s="65" t="s">
        <v>4</v>
      </c>
      <c r="B6" s="75">
        <v>6.2119999999999997</v>
      </c>
      <c r="C6" s="76">
        <v>125.8</v>
      </c>
      <c r="D6" s="76"/>
      <c r="E6" s="77"/>
      <c r="F6" s="100">
        <f>C6/(C4+C5+C6)</f>
        <v>1.8277179677170959E-2</v>
      </c>
      <c r="G6" s="59"/>
      <c r="H6" s="59"/>
      <c r="I6" s="59"/>
      <c r="J6" s="59"/>
      <c r="K6" s="59"/>
      <c r="L6" s="108" t="s">
        <v>427</v>
      </c>
      <c r="M6" s="176"/>
      <c r="N6" s="166"/>
      <c r="O6" s="101">
        <v>1.5</v>
      </c>
      <c r="P6" s="102">
        <f>E142</f>
        <v>2.1623297945995845</v>
      </c>
      <c r="Q6" s="160"/>
      <c r="R6" s="160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101" t="s">
        <v>343</v>
      </c>
      <c r="AE6" s="101">
        <v>0.5</v>
      </c>
      <c r="AF6" s="118" t="s">
        <v>352</v>
      </c>
      <c r="AG6" s="101" t="s">
        <v>356</v>
      </c>
      <c r="AH6" s="101">
        <v>0.5</v>
      </c>
      <c r="AI6" s="119">
        <v>5481.6510543983122</v>
      </c>
      <c r="AJ6" s="120"/>
      <c r="AK6" s="87"/>
      <c r="AL6" s="87"/>
      <c r="AM6" s="101" t="s">
        <v>343</v>
      </c>
      <c r="AN6" s="122">
        <v>0.25</v>
      </c>
      <c r="AO6" s="118" t="s">
        <v>352</v>
      </c>
      <c r="AP6" s="101" t="s">
        <v>356</v>
      </c>
      <c r="AQ6" s="122">
        <v>0.25</v>
      </c>
      <c r="AR6" s="119">
        <v>21071.182400957412</v>
      </c>
      <c r="AS6" s="120" t="s">
        <v>366</v>
      </c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</row>
    <row r="7" spans="1:63" s="78" customFormat="1" ht="15" thickBot="1" x14ac:dyDescent="0.45">
      <c r="A7" s="1" t="s">
        <v>242</v>
      </c>
      <c r="G7" s="87"/>
      <c r="H7" s="87"/>
      <c r="I7" s="87"/>
      <c r="J7" s="59"/>
      <c r="K7" s="59"/>
      <c r="L7" s="177">
        <f>L5/1.5</f>
        <v>5.0726978998384487E-3</v>
      </c>
      <c r="M7" s="176"/>
      <c r="N7" s="166"/>
      <c r="O7" s="101"/>
      <c r="P7" s="102"/>
      <c r="Q7" s="160"/>
      <c r="R7" s="160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 t="s">
        <v>344</v>
      </c>
      <c r="AE7" s="59">
        <v>1</v>
      </c>
      <c r="AF7" s="59" t="s">
        <v>352</v>
      </c>
      <c r="AG7" s="59" t="s">
        <v>357</v>
      </c>
      <c r="AH7" s="59">
        <v>1</v>
      </c>
      <c r="AI7" s="91">
        <v>3562.7051566595915</v>
      </c>
      <c r="AJ7" s="116" t="s">
        <v>366</v>
      </c>
      <c r="AK7" s="87"/>
      <c r="AL7" s="87"/>
      <c r="AM7" s="59" t="s">
        <v>344</v>
      </c>
      <c r="AN7" s="123">
        <v>0.5</v>
      </c>
      <c r="AO7" s="59" t="s">
        <v>352</v>
      </c>
      <c r="AP7" s="59" t="s">
        <v>357</v>
      </c>
      <c r="AQ7" s="123">
        <v>0.5</v>
      </c>
      <c r="AR7" s="91">
        <v>7997.9944544586087</v>
      </c>
      <c r="AS7" s="116" t="s">
        <v>366</v>
      </c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</row>
    <row r="8" spans="1:63" s="65" customFormat="1" x14ac:dyDescent="0.4">
      <c r="A8" s="65" t="s">
        <v>0</v>
      </c>
      <c r="B8" s="66" t="s">
        <v>2</v>
      </c>
      <c r="C8" s="67" t="s">
        <v>1</v>
      </c>
      <c r="D8" s="67" t="s">
        <v>113</v>
      </c>
      <c r="E8" s="11" t="s">
        <v>69</v>
      </c>
      <c r="F8" s="65" t="s">
        <v>180</v>
      </c>
      <c r="G8" s="21"/>
      <c r="H8" s="21"/>
      <c r="I8" s="87"/>
      <c r="J8" s="59"/>
      <c r="K8" s="59"/>
      <c r="L8" s="59"/>
      <c r="M8" s="167" t="s">
        <v>100</v>
      </c>
      <c r="N8" s="167" t="s">
        <v>273</v>
      </c>
      <c r="O8" s="103">
        <v>0.5</v>
      </c>
      <c r="P8" s="104">
        <f>E148</f>
        <v>0.80357142857142849</v>
      </c>
      <c r="Q8" s="159">
        <f>(P10-P9)/0.5</f>
        <v>0.49093800745837823</v>
      </c>
      <c r="R8" s="159">
        <f>Q8/(0.1/1000)</f>
        <v>4909.3800745837825</v>
      </c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 t="s">
        <v>344</v>
      </c>
      <c r="AE8" s="59">
        <v>0.5</v>
      </c>
      <c r="AF8" s="59" t="s">
        <v>352</v>
      </c>
      <c r="AG8" s="59" t="s">
        <v>357</v>
      </c>
      <c r="AH8" s="59">
        <v>0.5</v>
      </c>
      <c r="AI8" s="91">
        <v>4662.4402570016773</v>
      </c>
      <c r="AJ8" s="116"/>
      <c r="AK8" s="87"/>
      <c r="AL8" s="87"/>
      <c r="AM8" s="59" t="s">
        <v>344</v>
      </c>
      <c r="AN8" s="123">
        <v>0.25</v>
      </c>
      <c r="AO8" s="59" t="s">
        <v>352</v>
      </c>
      <c r="AP8" s="59" t="s">
        <v>357</v>
      </c>
      <c r="AQ8" s="123">
        <v>0.25</v>
      </c>
      <c r="AR8" s="91">
        <v>15391.377798588825</v>
      </c>
      <c r="AS8" s="116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</row>
    <row r="9" spans="1:63" s="65" customFormat="1" x14ac:dyDescent="0.4">
      <c r="A9" s="65" t="s">
        <v>3</v>
      </c>
      <c r="B9" s="70">
        <v>3.14</v>
      </c>
      <c r="C9" s="59">
        <v>6787.8</v>
      </c>
      <c r="D9" s="72">
        <f>C9/C11</f>
        <v>53.616113744075832</v>
      </c>
      <c r="E9" s="74">
        <f>(D10+0.0045)/0.0056</f>
        <v>1.463693297224103</v>
      </c>
      <c r="F9" s="97">
        <f>(C10/(C9+C10))</f>
        <v>6.8942475459130378E-5</v>
      </c>
      <c r="G9" s="106"/>
      <c r="H9" s="106"/>
      <c r="I9" s="87"/>
      <c r="J9" s="59"/>
      <c r="K9" s="59"/>
      <c r="L9" s="89"/>
      <c r="M9" s="167"/>
      <c r="N9" s="167"/>
      <c r="O9" s="103">
        <v>1</v>
      </c>
      <c r="P9" s="104">
        <f>E153</f>
        <v>1.2861582082712797</v>
      </c>
      <c r="Q9" s="159"/>
      <c r="R9" s="1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101" t="s">
        <v>346</v>
      </c>
      <c r="AE9" s="101">
        <v>0.25</v>
      </c>
      <c r="AF9" s="118" t="s">
        <v>352</v>
      </c>
      <c r="AG9" s="101" t="s">
        <v>356</v>
      </c>
      <c r="AH9" s="101">
        <v>0.25</v>
      </c>
      <c r="AI9" s="119">
        <f>R46</f>
        <v>3238.0502982891621</v>
      </c>
      <c r="AJ9" s="121"/>
      <c r="AK9" s="87"/>
      <c r="AL9" s="87"/>
      <c r="AM9" s="101" t="s">
        <v>346</v>
      </c>
      <c r="AN9" s="122">
        <v>0.1</v>
      </c>
      <c r="AO9" s="118" t="s">
        <v>352</v>
      </c>
      <c r="AP9" s="101" t="s">
        <v>356</v>
      </c>
      <c r="AQ9" s="122">
        <v>0.1</v>
      </c>
      <c r="AR9" s="119">
        <f>R54</f>
        <v>9225.4964117252839</v>
      </c>
      <c r="AS9" s="121"/>
      <c r="AT9" s="88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</row>
    <row r="10" spans="1:63" s="65" customFormat="1" x14ac:dyDescent="0.4">
      <c r="A10" s="65" t="s">
        <v>5</v>
      </c>
      <c r="B10" s="70">
        <v>4.83</v>
      </c>
      <c r="C10" s="59">
        <v>0.46800000000000003</v>
      </c>
      <c r="D10" s="31">
        <f>C10/C11</f>
        <v>3.6966824644549768E-3</v>
      </c>
      <c r="E10" s="74"/>
      <c r="G10" s="87"/>
      <c r="H10" s="87"/>
      <c r="I10" s="87"/>
      <c r="J10" s="59"/>
      <c r="K10" s="59"/>
      <c r="L10" s="59"/>
      <c r="M10" s="167"/>
      <c r="N10" s="167"/>
      <c r="O10" s="103">
        <v>1.5</v>
      </c>
      <c r="P10" s="104">
        <f>E158</f>
        <v>1.5316272120004688</v>
      </c>
      <c r="Q10" s="159"/>
      <c r="R10" s="1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101" t="s">
        <v>346</v>
      </c>
      <c r="AE10" s="101">
        <v>0.1</v>
      </c>
      <c r="AF10" s="118" t="s">
        <v>352</v>
      </c>
      <c r="AG10" s="101" t="s">
        <v>356</v>
      </c>
      <c r="AH10" s="101">
        <v>0.1</v>
      </c>
      <c r="AI10" s="119">
        <f>R50</f>
        <v>3676.3567803709616</v>
      </c>
      <c r="AJ10" s="121"/>
      <c r="AK10" s="87"/>
      <c r="AL10" s="87"/>
      <c r="AM10" s="101" t="s">
        <v>346</v>
      </c>
      <c r="AN10" s="122">
        <v>0.05</v>
      </c>
      <c r="AO10" s="118" t="s">
        <v>352</v>
      </c>
      <c r="AP10" s="101" t="s">
        <v>356</v>
      </c>
      <c r="AQ10" s="122">
        <v>0.05</v>
      </c>
      <c r="AR10" s="119">
        <f>R58</f>
        <v>11653.446145139742</v>
      </c>
      <c r="AS10" s="121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</row>
    <row r="11" spans="1:63" s="65" customFormat="1" ht="15" thickBot="1" x14ac:dyDescent="0.45">
      <c r="A11" s="65" t="s">
        <v>4</v>
      </c>
      <c r="B11" s="75">
        <v>6.2119999999999997</v>
      </c>
      <c r="C11" s="76">
        <v>126.6</v>
      </c>
      <c r="D11" s="76"/>
      <c r="E11" s="77"/>
      <c r="F11" s="100">
        <f>C11/(C9+C10+C11)</f>
        <v>1.83083755177973E-2</v>
      </c>
      <c r="G11" s="87"/>
      <c r="H11" s="87"/>
      <c r="I11" s="87"/>
      <c r="J11" s="59"/>
      <c r="K11" s="59"/>
      <c r="L11" s="89"/>
      <c r="M11" s="167"/>
      <c r="N11" s="167"/>
      <c r="O11" s="103"/>
      <c r="P11" s="104"/>
      <c r="Q11" s="159"/>
      <c r="R11" s="1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 t="s">
        <v>347</v>
      </c>
      <c r="AE11" s="59">
        <v>0.25</v>
      </c>
      <c r="AF11" s="59" t="s">
        <v>352</v>
      </c>
      <c r="AG11" s="59" t="s">
        <v>357</v>
      </c>
      <c r="AH11" s="59">
        <v>0.25</v>
      </c>
      <c r="AI11" s="91">
        <f>R88</f>
        <v>3487.7138908394354</v>
      </c>
      <c r="AJ11" s="117"/>
      <c r="AK11" s="87"/>
      <c r="AL11" s="87"/>
      <c r="AM11" s="59" t="s">
        <v>347</v>
      </c>
      <c r="AN11" s="123">
        <v>0.1</v>
      </c>
      <c r="AO11" s="59" t="s">
        <v>352</v>
      </c>
      <c r="AP11" s="59" t="s">
        <v>357</v>
      </c>
      <c r="AQ11" s="123">
        <v>0.1</v>
      </c>
      <c r="AR11" s="91">
        <f>R96</f>
        <v>30628.529596318764</v>
      </c>
      <c r="AS11" s="117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</row>
    <row r="12" spans="1:63" s="78" customFormat="1" ht="15" thickBot="1" x14ac:dyDescent="0.45">
      <c r="A12" s="1" t="s">
        <v>243</v>
      </c>
      <c r="F12" s="79"/>
      <c r="G12" s="87"/>
      <c r="H12" s="87"/>
      <c r="I12" s="87"/>
      <c r="J12" s="59"/>
      <c r="K12" s="59"/>
      <c r="L12" s="108" t="s">
        <v>428</v>
      </c>
      <c r="M12" s="176" t="s">
        <v>280</v>
      </c>
      <c r="N12" s="166" t="s">
        <v>274</v>
      </c>
      <c r="O12" s="101">
        <v>0.5</v>
      </c>
      <c r="P12" s="102">
        <f>E164</f>
        <v>1.4704540101283712</v>
      </c>
      <c r="Q12" s="160">
        <f>(P14-P13)/0.5</f>
        <v>3.4866238684424413</v>
      </c>
      <c r="R12" s="160">
        <f>Q12/(0.185/1000)</f>
        <v>18846.615505094276</v>
      </c>
      <c r="S12" s="59">
        <v>20509.552167308477</v>
      </c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 t="s">
        <v>347</v>
      </c>
      <c r="AE12" s="59">
        <v>0.1</v>
      </c>
      <c r="AF12" s="59" t="s">
        <v>352</v>
      </c>
      <c r="AG12" s="59" t="s">
        <v>357</v>
      </c>
      <c r="AH12" s="59">
        <v>0.1</v>
      </c>
      <c r="AI12" s="91">
        <f>R92</f>
        <v>5935.1276742581003</v>
      </c>
      <c r="AJ12" s="117"/>
      <c r="AK12" s="87"/>
      <c r="AL12" s="87"/>
      <c r="AM12" s="59" t="s">
        <v>347</v>
      </c>
      <c r="AN12" s="123">
        <v>0.05</v>
      </c>
      <c r="AO12" s="59" t="s">
        <v>352</v>
      </c>
      <c r="AP12" s="59" t="s">
        <v>357</v>
      </c>
      <c r="AQ12" s="123">
        <v>0.05</v>
      </c>
      <c r="AR12" s="91">
        <f>R100</f>
        <v>30166.831910902532</v>
      </c>
      <c r="AS12" s="117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</row>
    <row r="13" spans="1:63" x14ac:dyDescent="0.4">
      <c r="A13" t="s">
        <v>0</v>
      </c>
      <c r="B13" s="66" t="s">
        <v>2</v>
      </c>
      <c r="C13" s="67" t="s">
        <v>1</v>
      </c>
      <c r="D13" s="67" t="s">
        <v>113</v>
      </c>
      <c r="E13" s="11" t="s">
        <v>69</v>
      </c>
      <c r="F13" s="65" t="s">
        <v>180</v>
      </c>
      <c r="G13" s="21"/>
      <c r="H13" s="21"/>
      <c r="I13" s="21"/>
      <c r="J13" s="59"/>
      <c r="K13" s="59"/>
      <c r="L13" s="109">
        <f>D175</f>
        <v>1.8043303929430633E-2</v>
      </c>
      <c r="M13" s="176"/>
      <c r="N13" s="166"/>
      <c r="O13" s="101">
        <v>1</v>
      </c>
      <c r="P13" s="102">
        <f>E169</f>
        <v>2.282278053177107</v>
      </c>
      <c r="Q13" s="160"/>
      <c r="R13" s="160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101" t="s">
        <v>350</v>
      </c>
      <c r="AE13" s="101">
        <v>0.25</v>
      </c>
      <c r="AF13" s="118" t="s">
        <v>352</v>
      </c>
      <c r="AG13" s="101" t="s">
        <v>358</v>
      </c>
      <c r="AH13" s="101">
        <v>0.25</v>
      </c>
      <c r="AI13" s="119">
        <f>R67</f>
        <v>3821.9863715853589</v>
      </c>
      <c r="AJ13" s="121"/>
      <c r="AK13" s="60"/>
      <c r="AL13" s="60"/>
      <c r="AM13" s="101" t="s">
        <v>350</v>
      </c>
      <c r="AN13" s="122">
        <v>0.1</v>
      </c>
      <c r="AO13" s="118" t="s">
        <v>352</v>
      </c>
      <c r="AP13" s="101" t="s">
        <v>358</v>
      </c>
      <c r="AQ13" s="122">
        <v>0.1</v>
      </c>
      <c r="AR13" s="119">
        <f>R75</f>
        <v>48615.443954124174</v>
      </c>
      <c r="AS13" s="1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</row>
    <row r="14" spans="1:63" x14ac:dyDescent="0.4">
      <c r="A14" t="s">
        <v>3</v>
      </c>
      <c r="B14" s="18">
        <v>3.1</v>
      </c>
      <c r="C14" s="59">
        <v>6629.6</v>
      </c>
      <c r="D14" s="8">
        <f>C14/C16</f>
        <v>53.33547868061143</v>
      </c>
      <c r="E14" s="74">
        <f>(D15+0.0045)/0.0056</f>
        <v>1.974413860475807</v>
      </c>
      <c r="F14" s="97">
        <f>(C15/(C14+C15))</f>
        <v>1.229183995270281E-4</v>
      </c>
      <c r="G14" s="106"/>
      <c r="H14" s="106"/>
      <c r="I14" s="21"/>
      <c r="J14" s="59"/>
      <c r="K14" s="59"/>
      <c r="L14" s="108" t="s">
        <v>427</v>
      </c>
      <c r="M14" s="176"/>
      <c r="N14" s="166"/>
      <c r="O14" s="101">
        <v>1.5</v>
      </c>
      <c r="P14" s="102">
        <f>E174</f>
        <v>4.0255899873983276</v>
      </c>
      <c r="Q14" s="160"/>
      <c r="R14" s="160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101" t="s">
        <v>350</v>
      </c>
      <c r="AE14" s="101">
        <v>0.1</v>
      </c>
      <c r="AF14" s="118" t="s">
        <v>352</v>
      </c>
      <c r="AG14" s="101" t="s">
        <v>358</v>
      </c>
      <c r="AH14" s="101">
        <v>0.1</v>
      </c>
      <c r="AI14" s="119">
        <f>R71</f>
        <v>5953.0607245127549</v>
      </c>
      <c r="AJ14" s="121"/>
      <c r="AK14" s="60"/>
      <c r="AL14" s="60"/>
      <c r="AM14" s="101" t="s">
        <v>350</v>
      </c>
      <c r="AN14" s="122">
        <v>0.05</v>
      </c>
      <c r="AO14" s="118" t="s">
        <v>352</v>
      </c>
      <c r="AP14" s="101" t="s">
        <v>358</v>
      </c>
      <c r="AQ14" s="122">
        <v>0.05</v>
      </c>
      <c r="AR14" s="119">
        <f>R79</f>
        <v>47054.243088013725</v>
      </c>
      <c r="AS14" s="1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</row>
    <row r="15" spans="1:63" x14ac:dyDescent="0.4">
      <c r="A15" t="s">
        <v>5</v>
      </c>
      <c r="B15" s="18">
        <v>4.83</v>
      </c>
      <c r="C15" s="59">
        <v>0.81499999999999995</v>
      </c>
      <c r="D15" s="32">
        <f>C15/C16</f>
        <v>6.5567176186645208E-3</v>
      </c>
      <c r="E15" s="13"/>
      <c r="F15" s="94"/>
      <c r="G15" s="21"/>
      <c r="H15" s="21"/>
      <c r="I15" s="21"/>
      <c r="J15" s="21"/>
      <c r="K15" s="21"/>
      <c r="L15" s="109">
        <f>L13/1.5</f>
        <v>1.2028869286287089E-2</v>
      </c>
      <c r="M15" s="176"/>
      <c r="N15" s="166"/>
      <c r="O15" s="101"/>
      <c r="P15" s="102"/>
      <c r="Q15" s="160"/>
      <c r="R15" s="160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59" t="s">
        <v>348</v>
      </c>
      <c r="AE15" s="59">
        <v>0.25</v>
      </c>
      <c r="AF15" s="59" t="s">
        <v>352</v>
      </c>
      <c r="AG15" s="59" t="s">
        <v>359</v>
      </c>
      <c r="AH15" s="59">
        <v>0.25</v>
      </c>
      <c r="AI15" s="91">
        <f>R108</f>
        <v>6050.6084627449145</v>
      </c>
      <c r="AJ15" s="117"/>
      <c r="AK15" s="60"/>
      <c r="AL15" s="60"/>
      <c r="AM15" s="59" t="s">
        <v>348</v>
      </c>
      <c r="AN15" s="123">
        <v>0.1</v>
      </c>
      <c r="AO15" s="59" t="s">
        <v>352</v>
      </c>
      <c r="AP15" s="59" t="s">
        <v>359</v>
      </c>
      <c r="AQ15" s="123">
        <v>0.1</v>
      </c>
      <c r="AR15" s="91">
        <f>R116</f>
        <v>45045.001027143066</v>
      </c>
      <c r="AS15" s="117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</row>
    <row r="16" spans="1:63" ht="15" thickBot="1" x14ac:dyDescent="0.45">
      <c r="A16" t="s">
        <v>4</v>
      </c>
      <c r="B16" s="20">
        <v>6.2119999999999997</v>
      </c>
      <c r="C16" s="16">
        <v>124.3</v>
      </c>
      <c r="D16" s="16"/>
      <c r="E16" s="24"/>
      <c r="F16" s="100">
        <f>C16/(C14+C15+C16)</f>
        <v>1.840196070448568E-2</v>
      </c>
      <c r="G16" s="21"/>
      <c r="H16" s="21"/>
      <c r="I16" s="21"/>
      <c r="J16" s="21"/>
      <c r="K16" s="21"/>
      <c r="L16" s="21"/>
      <c r="M16" s="167" t="s">
        <v>281</v>
      </c>
      <c r="N16" s="167" t="s">
        <v>275</v>
      </c>
      <c r="O16" s="103">
        <v>0.5</v>
      </c>
      <c r="P16" s="104">
        <f>E180</f>
        <v>1.3941003616636527</v>
      </c>
      <c r="Q16" s="159">
        <f>(P18-P17)/0.5</f>
        <v>1.7520392601378347</v>
      </c>
      <c r="R16" s="159">
        <f>Q16/(0.093/1000)</f>
        <v>18839.131829439084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59" t="s">
        <v>348</v>
      </c>
      <c r="AE16" s="59">
        <v>0.1</v>
      </c>
      <c r="AF16" s="59" t="s">
        <v>352</v>
      </c>
      <c r="AG16" s="59" t="s">
        <v>359</v>
      </c>
      <c r="AH16" s="59">
        <v>0.1</v>
      </c>
      <c r="AI16" s="91">
        <f>R112</f>
        <v>5812.3319493324252</v>
      </c>
      <c r="AJ16" s="117"/>
      <c r="AK16" s="60"/>
      <c r="AL16" s="60"/>
      <c r="AM16" s="59" t="s">
        <v>348</v>
      </c>
      <c r="AN16" s="123">
        <v>0.05</v>
      </c>
      <c r="AO16" s="59" t="s">
        <v>352</v>
      </c>
      <c r="AP16" s="59" t="s">
        <v>359</v>
      </c>
      <c r="AQ16" s="123">
        <v>0.05</v>
      </c>
      <c r="AR16" s="91">
        <f>R120</f>
        <v>52988.212175414141</v>
      </c>
      <c r="AS16" s="117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</row>
    <row r="17" spans="1:63" s="1" customFormat="1" x14ac:dyDescent="0.4">
      <c r="A17" s="4" t="s">
        <v>186</v>
      </c>
      <c r="B17" s="4"/>
      <c r="C17" s="4"/>
      <c r="D17" s="4"/>
      <c r="E17" s="4"/>
      <c r="F17" s="4"/>
      <c r="G17" s="4"/>
      <c r="H17" s="4"/>
      <c r="I17" s="4"/>
      <c r="J17" s="21"/>
      <c r="K17" s="21"/>
      <c r="L17" s="21"/>
      <c r="M17" s="167"/>
      <c r="N17" s="167"/>
      <c r="O17" s="103">
        <v>1</v>
      </c>
      <c r="P17" s="104">
        <f>E185</f>
        <v>2.0079237482774461</v>
      </c>
      <c r="Q17" s="159"/>
      <c r="R17" s="159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60"/>
      <c r="AF17" s="60"/>
      <c r="AG17" s="60"/>
      <c r="AH17" s="60"/>
      <c r="AI17" s="60"/>
      <c r="AJ17" s="60"/>
      <c r="AK17" s="60"/>
      <c r="AL17" s="60"/>
      <c r="AM17" s="88"/>
      <c r="AN17" s="60"/>
      <c r="AO17" s="60"/>
      <c r="AP17" s="60"/>
      <c r="AQ17" s="60"/>
      <c r="AR17" s="60"/>
      <c r="AS17" s="60"/>
      <c r="AT17" s="60"/>
      <c r="AU17" s="60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</row>
    <row r="18" spans="1:63" ht="15" thickBot="1" x14ac:dyDescent="0.45">
      <c r="A18" s="1" t="s">
        <v>244</v>
      </c>
      <c r="B18" s="1"/>
      <c r="C18" s="1"/>
      <c r="D18" s="1"/>
      <c r="E18" s="1"/>
      <c r="F18" s="1"/>
      <c r="G18" s="60"/>
      <c r="H18" s="60"/>
      <c r="I18" s="60"/>
      <c r="J18" s="21"/>
      <c r="K18" s="21"/>
      <c r="L18" s="21"/>
      <c r="M18" s="167"/>
      <c r="N18" s="167"/>
      <c r="O18" s="103">
        <v>1.5</v>
      </c>
      <c r="P18" s="104">
        <f>E190</f>
        <v>2.8839433783463635</v>
      </c>
      <c r="Q18" s="159"/>
      <c r="R18" s="159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60"/>
      <c r="AF18" s="60"/>
      <c r="AG18" s="60"/>
      <c r="AH18" s="60"/>
      <c r="AI18" s="60"/>
      <c r="AJ18" s="60"/>
      <c r="AK18" s="60"/>
      <c r="AL18" s="60"/>
      <c r="AM18" s="88"/>
      <c r="AN18" s="60"/>
      <c r="AO18" s="60"/>
      <c r="AP18" s="60"/>
      <c r="AQ18" s="60"/>
      <c r="AR18" s="60"/>
      <c r="AS18" s="60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</row>
    <row r="19" spans="1:63" x14ac:dyDescent="0.4">
      <c r="A19" s="65" t="s">
        <v>0</v>
      </c>
      <c r="B19" s="66" t="s">
        <v>2</v>
      </c>
      <c r="C19" s="67" t="s">
        <v>1</v>
      </c>
      <c r="D19" s="67" t="s">
        <v>113</v>
      </c>
      <c r="E19" s="11" t="s">
        <v>69</v>
      </c>
      <c r="F19" s="65" t="s">
        <v>180</v>
      </c>
      <c r="G19" s="59"/>
      <c r="H19" s="59"/>
      <c r="I19" s="59"/>
      <c r="J19" s="21"/>
      <c r="K19" s="21"/>
      <c r="L19" s="21"/>
      <c r="M19" s="167"/>
      <c r="N19" s="167"/>
      <c r="O19" s="103"/>
      <c r="P19" s="104"/>
      <c r="Q19" s="159"/>
      <c r="R19" s="159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K19" s="60"/>
      <c r="AL19" s="60"/>
      <c r="AM19" s="59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</row>
    <row r="20" spans="1:63" x14ac:dyDescent="0.4">
      <c r="A20" s="65" t="s">
        <v>3</v>
      </c>
      <c r="B20" s="70">
        <v>3.1</v>
      </c>
      <c r="C20" s="71">
        <v>6529.5</v>
      </c>
      <c r="D20" s="72">
        <f>C20/C22</f>
        <v>53.918249380677132</v>
      </c>
      <c r="E20" s="74">
        <f>(D21+0.0045)/0.0056</f>
        <v>0.80357142857142849</v>
      </c>
      <c r="F20" s="97">
        <f>(C21/(C20+C21))</f>
        <v>0</v>
      </c>
      <c r="G20" s="59"/>
      <c r="H20" s="59"/>
      <c r="I20" s="59"/>
      <c r="J20" s="21"/>
      <c r="K20" s="21"/>
      <c r="L20" s="21"/>
      <c r="M20" s="21"/>
      <c r="N20" s="21"/>
      <c r="O20" s="21"/>
      <c r="P20" s="21"/>
      <c r="Q20" s="11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K20" s="60"/>
      <c r="AL20" s="60"/>
      <c r="AM20" s="59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</row>
    <row r="21" spans="1:63" x14ac:dyDescent="0.4">
      <c r="A21" s="65" t="s">
        <v>5</v>
      </c>
      <c r="B21" s="70">
        <v>4.83</v>
      </c>
      <c r="C21" s="71">
        <v>0</v>
      </c>
      <c r="D21" s="31">
        <f>C21/C22</f>
        <v>0</v>
      </c>
      <c r="E21" s="74"/>
      <c r="F21" s="72"/>
      <c r="G21" s="59"/>
      <c r="H21" s="59"/>
      <c r="I21" s="59"/>
      <c r="J21" s="21"/>
      <c r="K21" s="21"/>
      <c r="L21" s="21"/>
      <c r="M21" s="21"/>
      <c r="N21" s="21"/>
      <c r="O21" s="21"/>
      <c r="P21" s="21"/>
      <c r="Q21" s="11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60"/>
      <c r="AL21" s="60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</row>
    <row r="22" spans="1:63" s="4" customFormat="1" ht="15" thickBot="1" x14ac:dyDescent="0.45">
      <c r="A22" s="65" t="s">
        <v>4</v>
      </c>
      <c r="B22" s="75">
        <v>6.2119999999999997</v>
      </c>
      <c r="C22" s="76">
        <v>121.1</v>
      </c>
      <c r="D22" s="76"/>
      <c r="E22" s="77"/>
      <c r="F22" s="100">
        <f>C22/(C20+C21+C22)</f>
        <v>1.8208883409015726E-2</v>
      </c>
      <c r="G22" s="59"/>
      <c r="H22" s="59"/>
      <c r="I22" s="59"/>
      <c r="J22" s="21"/>
      <c r="K22" s="21"/>
      <c r="L22" s="21"/>
      <c r="M22" s="21"/>
      <c r="N22" s="21"/>
      <c r="O22" s="21"/>
      <c r="P22" s="21"/>
      <c r="Q22" s="11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60"/>
      <c r="AL22" s="60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</row>
    <row r="23" spans="1:63" s="1" customFormat="1" ht="15" thickBot="1" x14ac:dyDescent="0.45">
      <c r="A23" s="1" t="s">
        <v>245</v>
      </c>
      <c r="B23" s="78"/>
      <c r="C23" s="78"/>
      <c r="D23" s="78"/>
      <c r="E23" s="78"/>
      <c r="F23" s="78"/>
      <c r="G23" s="87"/>
      <c r="H23" s="87"/>
      <c r="I23" s="87"/>
      <c r="J23" s="21"/>
      <c r="K23" s="21"/>
      <c r="L23" s="21"/>
      <c r="M23" s="105" t="s">
        <v>276</v>
      </c>
      <c r="N23" s="105"/>
      <c r="O23" s="105"/>
      <c r="P23" s="105"/>
      <c r="Q23" s="112"/>
      <c r="R23" s="112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60"/>
      <c r="AL23" s="60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</row>
    <row r="24" spans="1:63" s="65" customFormat="1" x14ac:dyDescent="0.4">
      <c r="A24" s="65" t="s">
        <v>0</v>
      </c>
      <c r="B24" s="66" t="s">
        <v>2</v>
      </c>
      <c r="C24" s="67" t="s">
        <v>1</v>
      </c>
      <c r="D24" s="67" t="s">
        <v>113</v>
      </c>
      <c r="E24" s="11" t="s">
        <v>69</v>
      </c>
      <c r="F24" s="65" t="s">
        <v>180</v>
      </c>
      <c r="G24" s="87"/>
      <c r="H24" s="87"/>
      <c r="I24" s="87"/>
      <c r="J24" s="59"/>
      <c r="K24" s="59"/>
      <c r="L24" s="59"/>
      <c r="M24" s="105" t="s">
        <v>187</v>
      </c>
      <c r="N24" s="105" t="s">
        <v>272</v>
      </c>
      <c r="O24" s="105" t="s">
        <v>188</v>
      </c>
      <c r="P24" s="105" t="s">
        <v>208</v>
      </c>
      <c r="Q24" s="112" t="s">
        <v>294</v>
      </c>
      <c r="R24" s="112" t="s">
        <v>295</v>
      </c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87"/>
      <c r="AL24" s="87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</row>
    <row r="25" spans="1:63" s="65" customFormat="1" x14ac:dyDescent="0.4">
      <c r="A25" s="65" t="s">
        <v>3</v>
      </c>
      <c r="B25" s="70">
        <v>3.14</v>
      </c>
      <c r="C25" s="59">
        <v>6728.7</v>
      </c>
      <c r="D25" s="72">
        <f>C25/C27</f>
        <v>53.657894736842103</v>
      </c>
      <c r="E25" s="74">
        <f>(D26+0.0045)/0.0056</f>
        <v>1.3916894508999771</v>
      </c>
      <c r="F25" s="97">
        <f>(C26/(C25+C26))</f>
        <v>6.1375102483789468E-5</v>
      </c>
      <c r="G25" s="87"/>
      <c r="H25" s="87"/>
      <c r="I25" s="87"/>
      <c r="J25" s="59"/>
      <c r="K25" s="59"/>
      <c r="L25" s="108" t="s">
        <v>428</v>
      </c>
      <c r="M25" s="176" t="s">
        <v>241</v>
      </c>
      <c r="N25" s="166" t="s">
        <v>278</v>
      </c>
      <c r="O25" s="101">
        <v>0.5</v>
      </c>
      <c r="P25" s="102">
        <f>E4</f>
        <v>0.80357142857142849</v>
      </c>
      <c r="Q25" s="160">
        <f>(P27-P26)/0.5</f>
        <v>1.021441126503408</v>
      </c>
      <c r="R25" s="160">
        <f>Q25/(0.251/1000)</f>
        <v>4069.4865597745343</v>
      </c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87"/>
      <c r="AL25" s="87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</row>
    <row r="26" spans="1:63" s="65" customFormat="1" x14ac:dyDescent="0.4">
      <c r="A26" s="65" t="s">
        <v>5</v>
      </c>
      <c r="B26" s="70">
        <v>4.83</v>
      </c>
      <c r="C26" s="59">
        <v>0.41299999999999998</v>
      </c>
      <c r="D26" s="31">
        <f>C26/C27</f>
        <v>3.2934609250398722E-3</v>
      </c>
      <c r="E26" s="74"/>
      <c r="F26" s="72"/>
      <c r="G26" s="87"/>
      <c r="H26" s="87"/>
      <c r="I26" s="87"/>
      <c r="J26" s="59"/>
      <c r="K26" s="59"/>
      <c r="L26" s="109">
        <f>D15</f>
        <v>6.5567176186645208E-3</v>
      </c>
      <c r="M26" s="176"/>
      <c r="N26" s="166"/>
      <c r="O26" s="101">
        <v>1</v>
      </c>
      <c r="P26" s="102">
        <f>E9</f>
        <v>1.463693297224103</v>
      </c>
      <c r="Q26" s="160"/>
      <c r="R26" s="160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89"/>
      <c r="AI26" s="59"/>
      <c r="AJ26" s="59"/>
      <c r="AK26" s="87"/>
      <c r="AL26" s="87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</row>
    <row r="27" spans="1:63" s="65" customFormat="1" ht="15" thickBot="1" x14ac:dyDescent="0.45">
      <c r="A27" s="65" t="s">
        <v>4</v>
      </c>
      <c r="B27" s="75">
        <v>6.2119999999999997</v>
      </c>
      <c r="C27" s="76">
        <v>125.4</v>
      </c>
      <c r="D27" s="76"/>
      <c r="E27" s="77"/>
      <c r="F27" s="100">
        <f>C27/(C25+C26+C27)</f>
        <v>1.8294516328147607E-2</v>
      </c>
      <c r="G27" s="87"/>
      <c r="H27" s="87"/>
      <c r="I27" s="87"/>
      <c r="J27" s="59"/>
      <c r="K27" s="59"/>
      <c r="L27" s="108" t="s">
        <v>427</v>
      </c>
      <c r="M27" s="176"/>
      <c r="N27" s="166"/>
      <c r="O27" s="101">
        <v>1.5</v>
      </c>
      <c r="P27" s="102">
        <f>E14</f>
        <v>1.974413860475807</v>
      </c>
      <c r="Q27" s="160"/>
      <c r="R27" s="160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87"/>
      <c r="AL27" s="87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</row>
    <row r="28" spans="1:63" s="78" customFormat="1" ht="15" thickBot="1" x14ac:dyDescent="0.45">
      <c r="A28" s="1" t="s">
        <v>246</v>
      </c>
      <c r="F28" s="79"/>
      <c r="G28" s="87"/>
      <c r="H28" s="87"/>
      <c r="I28" s="87"/>
      <c r="J28" s="59"/>
      <c r="K28" s="59"/>
      <c r="L28" s="109">
        <f>L26/1.5</f>
        <v>4.3711450791096805E-3</v>
      </c>
      <c r="M28" s="176"/>
      <c r="N28" s="166"/>
      <c r="O28" s="101"/>
      <c r="P28" s="102"/>
      <c r="Q28" s="160"/>
      <c r="R28" s="160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89"/>
      <c r="AI28" s="59"/>
      <c r="AJ28" s="59"/>
      <c r="AK28" s="87"/>
      <c r="AL28" s="87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</row>
    <row r="29" spans="1:63" s="65" customFormat="1" x14ac:dyDescent="0.4">
      <c r="A29" t="s">
        <v>0</v>
      </c>
      <c r="B29" s="66" t="s">
        <v>2</v>
      </c>
      <c r="C29" s="67" t="s">
        <v>1</v>
      </c>
      <c r="D29" s="67" t="s">
        <v>113</v>
      </c>
      <c r="E29" s="11" t="s">
        <v>69</v>
      </c>
      <c r="F29" s="65" t="s">
        <v>180</v>
      </c>
      <c r="G29" s="21"/>
      <c r="H29" s="21"/>
      <c r="I29" s="21"/>
      <c r="J29" s="59"/>
      <c r="K29" s="59"/>
      <c r="L29" s="59"/>
      <c r="M29" s="167" t="s">
        <v>265</v>
      </c>
      <c r="N29" s="167" t="s">
        <v>273</v>
      </c>
      <c r="O29" s="103">
        <v>0.5</v>
      </c>
      <c r="P29" s="104">
        <f>E20</f>
        <v>0.80357142857142849</v>
      </c>
      <c r="Q29" s="159">
        <f>(P31-P30)/0.5</f>
        <v>0.33541869801541635</v>
      </c>
      <c r="R29" s="159">
        <f>Q29/(0.1/1000)</f>
        <v>3354.1869801541634</v>
      </c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87"/>
      <c r="AL29" s="87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</row>
    <row r="30" spans="1:63" s="65" customFormat="1" x14ac:dyDescent="0.4">
      <c r="A30" t="s">
        <v>3</v>
      </c>
      <c r="B30" s="18">
        <v>3.1</v>
      </c>
      <c r="C30" s="59">
        <v>6578.6</v>
      </c>
      <c r="D30" s="8">
        <f>C30/C32</f>
        <v>53.138933764135707</v>
      </c>
      <c r="E30" s="74">
        <f>(D31+0.0045)/0.0056</f>
        <v>1.5593987999076853</v>
      </c>
      <c r="F30" s="97">
        <f>(C31/(C30+C31))</f>
        <v>7.9645861667905932E-5</v>
      </c>
      <c r="G30" s="21"/>
      <c r="H30" s="21"/>
      <c r="I30" s="21"/>
      <c r="J30" s="59"/>
      <c r="K30" s="59"/>
      <c r="L30" s="89"/>
      <c r="M30" s="167"/>
      <c r="N30" s="167"/>
      <c r="O30" s="103">
        <v>1</v>
      </c>
      <c r="P30" s="104">
        <f>E25</f>
        <v>1.3916894508999771</v>
      </c>
      <c r="Q30" s="159"/>
      <c r="R30" s="1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89"/>
      <c r="AI30" s="59"/>
      <c r="AJ30" s="88"/>
      <c r="AK30" s="87"/>
      <c r="AL30" s="87"/>
      <c r="AM30" s="88"/>
      <c r="AN30" s="88"/>
      <c r="AO30" s="88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</row>
    <row r="31" spans="1:63" s="65" customFormat="1" x14ac:dyDescent="0.4">
      <c r="A31" t="s">
        <v>5</v>
      </c>
      <c r="B31" s="18">
        <v>4.83</v>
      </c>
      <c r="C31" s="59">
        <v>0.52400000000000002</v>
      </c>
      <c r="D31" s="32">
        <f>C31/C32</f>
        <v>4.2326332794830378E-3</v>
      </c>
      <c r="E31" s="13"/>
      <c r="F31" s="72"/>
      <c r="G31" s="21"/>
      <c r="H31" s="21"/>
      <c r="I31" s="21"/>
      <c r="J31" s="59"/>
      <c r="K31" s="59"/>
      <c r="L31" s="59"/>
      <c r="M31" s="167"/>
      <c r="N31" s="167"/>
      <c r="O31" s="103">
        <v>1.5</v>
      </c>
      <c r="P31" s="104">
        <f>E30</f>
        <v>1.5593987999076853</v>
      </c>
      <c r="Q31" s="159"/>
      <c r="R31" s="1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91"/>
      <c r="AK31" s="87"/>
      <c r="AL31" s="87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</row>
    <row r="32" spans="1:63" s="65" customFormat="1" ht="15" thickBot="1" x14ac:dyDescent="0.45">
      <c r="A32" t="s">
        <v>4</v>
      </c>
      <c r="B32" s="20">
        <v>6.2119999999999997</v>
      </c>
      <c r="C32" s="16">
        <v>123.8</v>
      </c>
      <c r="D32" s="16"/>
      <c r="E32" s="24"/>
      <c r="F32" s="100">
        <f>C32/(C30+C31+C32)</f>
        <v>1.8469551497227177E-2</v>
      </c>
      <c r="G32" s="21"/>
      <c r="H32" s="21"/>
      <c r="I32" s="21"/>
      <c r="J32" s="59"/>
      <c r="K32" s="59"/>
      <c r="L32" s="89"/>
      <c r="M32" s="167"/>
      <c r="N32" s="167"/>
      <c r="O32" s="103"/>
      <c r="P32" s="104"/>
      <c r="Q32" s="159"/>
      <c r="R32" s="1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89"/>
      <c r="AI32" s="59"/>
      <c r="AJ32" s="88"/>
      <c r="AK32" s="87"/>
      <c r="AL32" s="87"/>
      <c r="AM32" s="88"/>
      <c r="AN32" s="88"/>
      <c r="AO32" s="88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</row>
    <row r="33" spans="1:63" s="78" customFormat="1" x14ac:dyDescent="0.4">
      <c r="A33" s="4" t="s">
        <v>186</v>
      </c>
      <c r="B33" s="4"/>
      <c r="C33" s="4"/>
      <c r="D33" s="4"/>
      <c r="E33" s="4"/>
      <c r="F33" s="4"/>
      <c r="G33" s="4"/>
      <c r="H33" s="4"/>
      <c r="I33" s="4"/>
      <c r="J33" s="59"/>
      <c r="K33" s="59"/>
      <c r="L33" s="108" t="s">
        <v>428</v>
      </c>
      <c r="M33" s="176" t="s">
        <v>266</v>
      </c>
      <c r="N33" s="166" t="s">
        <v>274</v>
      </c>
      <c r="O33" s="101">
        <v>0.5</v>
      </c>
      <c r="P33" s="102">
        <f>E36</f>
        <v>1.3626159173611925</v>
      </c>
      <c r="Q33" s="160">
        <f>(P35-P34)/0.5</f>
        <v>2.6828216776297165</v>
      </c>
      <c r="R33" s="160">
        <f>Q33/(0.185/1000)</f>
        <v>14501.738797998467</v>
      </c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87"/>
      <c r="AL33" s="87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</row>
    <row r="34" spans="1:63" ht="15" thickBot="1" x14ac:dyDescent="0.45">
      <c r="A34" s="1" t="s">
        <v>250</v>
      </c>
      <c r="B34" s="1"/>
      <c r="C34" s="1"/>
      <c r="D34" s="1"/>
      <c r="E34" s="1"/>
      <c r="F34" s="1"/>
      <c r="G34" s="60"/>
      <c r="H34" s="60"/>
      <c r="I34" s="60"/>
      <c r="J34" s="59"/>
      <c r="K34" s="59"/>
      <c r="L34" s="109">
        <f>D47</f>
        <v>1.5434606011372868E-2</v>
      </c>
      <c r="M34" s="176"/>
      <c r="N34" s="166"/>
      <c r="O34" s="101">
        <v>1</v>
      </c>
      <c r="P34" s="102">
        <f>E41</f>
        <v>2.2183402346445824</v>
      </c>
      <c r="Q34" s="160"/>
      <c r="R34" s="160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59"/>
      <c r="AG34" s="59"/>
      <c r="AH34" s="59"/>
      <c r="AI34" s="21"/>
      <c r="AJ34" s="21"/>
      <c r="AK34" s="60"/>
      <c r="AL34" s="60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</row>
    <row r="35" spans="1:63" x14ac:dyDescent="0.4">
      <c r="A35" s="65" t="s">
        <v>0</v>
      </c>
      <c r="B35" s="66" t="s">
        <v>2</v>
      </c>
      <c r="C35" s="67" t="s">
        <v>1</v>
      </c>
      <c r="D35" s="67" t="s">
        <v>113</v>
      </c>
      <c r="E35" s="11" t="s">
        <v>69</v>
      </c>
      <c r="F35" s="65" t="s">
        <v>180</v>
      </c>
      <c r="G35" s="59"/>
      <c r="H35" s="59"/>
      <c r="I35" s="59"/>
      <c r="J35" s="21"/>
      <c r="K35" s="21"/>
      <c r="L35" s="108" t="s">
        <v>427</v>
      </c>
      <c r="M35" s="176"/>
      <c r="N35" s="166"/>
      <c r="O35" s="101">
        <v>1.5</v>
      </c>
      <c r="P35" s="102">
        <f>E46</f>
        <v>3.5597510734594406</v>
      </c>
      <c r="Q35" s="160"/>
      <c r="R35" s="160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59"/>
      <c r="AJ35" s="59"/>
      <c r="AK35" s="60"/>
      <c r="AL35" s="60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</row>
    <row r="36" spans="1:63" x14ac:dyDescent="0.4">
      <c r="A36" s="65" t="s">
        <v>3</v>
      </c>
      <c r="B36" s="70">
        <v>3.1</v>
      </c>
      <c r="C36" s="71">
        <v>6558.1</v>
      </c>
      <c r="D36" s="72">
        <f>C36/C38</f>
        <v>53.887428101889896</v>
      </c>
      <c r="E36" s="74">
        <f>(D37+0.0045)/0.0056</f>
        <v>1.3626159173611925</v>
      </c>
      <c r="F36" s="97">
        <f>(C37/(C36+C37))</f>
        <v>5.8092719945365394E-5</v>
      </c>
      <c r="G36" s="59"/>
      <c r="H36" s="59"/>
      <c r="I36" s="59"/>
      <c r="J36" s="21"/>
      <c r="K36" s="21"/>
      <c r="L36" s="109">
        <f>L34/1.5</f>
        <v>1.0289737340915246E-2</v>
      </c>
      <c r="M36" s="176"/>
      <c r="N36" s="166"/>
      <c r="O36" s="101"/>
      <c r="P36" s="102"/>
      <c r="Q36" s="160"/>
      <c r="R36" s="160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60"/>
      <c r="AL36" s="60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</row>
    <row r="37" spans="1:63" x14ac:dyDescent="0.4">
      <c r="A37" s="65" t="s">
        <v>5</v>
      </c>
      <c r="B37" s="70">
        <v>4.83</v>
      </c>
      <c r="C37" s="71">
        <v>0.38100000000000001</v>
      </c>
      <c r="D37" s="31">
        <f>C37/C38</f>
        <v>3.1306491372226786E-3</v>
      </c>
      <c r="E37" s="74"/>
      <c r="F37" s="72"/>
      <c r="G37" s="59"/>
      <c r="H37" s="59"/>
      <c r="I37" s="59"/>
      <c r="J37" s="21"/>
      <c r="K37" s="21"/>
      <c r="L37" s="21"/>
      <c r="M37" s="167" t="s">
        <v>267</v>
      </c>
      <c r="N37" s="167" t="s">
        <v>275</v>
      </c>
      <c r="O37" s="103">
        <v>0.5</v>
      </c>
      <c r="P37" s="104">
        <f>E52</f>
        <v>1.2772169437846397</v>
      </c>
      <c r="Q37" s="159">
        <f>(P39-P38)/0.5</f>
        <v>1.2847521991085356</v>
      </c>
      <c r="R37" s="159">
        <f>Q37/(0.093/1000)</f>
        <v>13814.539775360598</v>
      </c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60"/>
      <c r="AL37" s="60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</row>
    <row r="38" spans="1:63" s="1" customFormat="1" ht="15" thickBot="1" x14ac:dyDescent="0.45">
      <c r="A38" s="65" t="s">
        <v>4</v>
      </c>
      <c r="B38" s="75">
        <v>6.2119999999999997</v>
      </c>
      <c r="C38" s="76">
        <v>121.7</v>
      </c>
      <c r="D38" s="76"/>
      <c r="E38" s="77"/>
      <c r="F38" s="100">
        <f>C38/(C36+C37+C38)</f>
        <v>1.8218069240938231E-2</v>
      </c>
      <c r="G38" s="59"/>
      <c r="H38" s="59"/>
      <c r="I38" s="59"/>
      <c r="J38" s="21"/>
      <c r="K38" s="21"/>
      <c r="L38" s="21"/>
      <c r="M38" s="167"/>
      <c r="N38" s="167"/>
      <c r="O38" s="103">
        <v>1</v>
      </c>
      <c r="P38" s="104">
        <f>E57</f>
        <v>1.8916513550757925</v>
      </c>
      <c r="Q38" s="159"/>
      <c r="R38" s="159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60"/>
      <c r="AL38" s="60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</row>
    <row r="39" spans="1:63" ht="15" thickBot="1" x14ac:dyDescent="0.45">
      <c r="A39" s="1" t="s">
        <v>251</v>
      </c>
      <c r="B39" s="78"/>
      <c r="C39" s="78"/>
      <c r="D39" s="78"/>
      <c r="E39" s="78"/>
      <c r="F39" s="78"/>
      <c r="G39" s="87"/>
      <c r="H39" s="87"/>
      <c r="I39" s="87"/>
      <c r="J39" s="21"/>
      <c r="K39" s="21"/>
      <c r="L39" s="21"/>
      <c r="M39" s="167"/>
      <c r="N39" s="167"/>
      <c r="O39" s="103">
        <v>1.5</v>
      </c>
      <c r="P39" s="104">
        <f>E62</f>
        <v>2.5340274546300603</v>
      </c>
      <c r="Q39" s="159"/>
      <c r="R39" s="159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60"/>
      <c r="AL39" s="60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</row>
    <row r="40" spans="1:63" x14ac:dyDescent="0.4">
      <c r="A40" s="65" t="s">
        <v>0</v>
      </c>
      <c r="B40" s="66" t="s">
        <v>2</v>
      </c>
      <c r="C40" s="67" t="s">
        <v>1</v>
      </c>
      <c r="D40" s="67" t="s">
        <v>113</v>
      </c>
      <c r="E40" s="11" t="s">
        <v>69</v>
      </c>
      <c r="F40" s="65" t="s">
        <v>180</v>
      </c>
      <c r="G40" s="87"/>
      <c r="H40" s="87"/>
      <c r="I40" s="87"/>
      <c r="J40" s="21"/>
      <c r="K40" s="21"/>
      <c r="L40" s="21"/>
      <c r="M40" s="167"/>
      <c r="N40" s="167"/>
      <c r="O40" s="103"/>
      <c r="P40" s="104"/>
      <c r="Q40" s="159"/>
      <c r="R40" s="159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60"/>
      <c r="AL40" s="60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</row>
    <row r="41" spans="1:63" x14ac:dyDescent="0.4">
      <c r="A41" s="65" t="s">
        <v>3</v>
      </c>
      <c r="B41" s="70">
        <v>3.14</v>
      </c>
      <c r="C41" s="59">
        <v>6640</v>
      </c>
      <c r="D41" s="72">
        <f>C41/C43</f>
        <v>53.462157809983893</v>
      </c>
      <c r="E41" s="74">
        <f>(D42+0.0045)/0.0056</f>
        <v>2.2183402346445824</v>
      </c>
      <c r="F41" s="97">
        <f>(C42/(C41+C42))</f>
        <v>1.4817081324092934E-4</v>
      </c>
      <c r="G41" s="87"/>
      <c r="H41" s="87"/>
      <c r="I41" s="87"/>
      <c r="J41" s="21"/>
      <c r="K41" s="21"/>
      <c r="L41" s="21"/>
      <c r="M41" s="21"/>
      <c r="N41" s="21"/>
      <c r="O41" s="21"/>
      <c r="P41" s="21"/>
      <c r="Q41" s="11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60"/>
      <c r="AL41" s="60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</row>
    <row r="42" spans="1:63" x14ac:dyDescent="0.4">
      <c r="A42" s="65" t="s">
        <v>5</v>
      </c>
      <c r="B42" s="70">
        <v>4.83</v>
      </c>
      <c r="C42" s="59">
        <v>0.98399999999999999</v>
      </c>
      <c r="D42" s="31">
        <f>C42/C43</f>
        <v>7.9227053140096624E-3</v>
      </c>
      <c r="E42" s="74"/>
      <c r="F42" s="72"/>
      <c r="G42" s="87"/>
      <c r="H42" s="87"/>
      <c r="I42" s="87"/>
      <c r="J42" s="21"/>
      <c r="K42" s="21"/>
      <c r="L42" s="21"/>
      <c r="M42" s="21"/>
      <c r="N42" s="21"/>
      <c r="O42" s="21"/>
      <c r="P42" s="21"/>
      <c r="Q42" s="11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  <c r="BI42" s="21"/>
      <c r="BJ42" s="21"/>
      <c r="BK42" s="21"/>
    </row>
    <row r="43" spans="1:63" ht="15" thickBot="1" x14ac:dyDescent="0.45">
      <c r="A43" s="65" t="s">
        <v>4</v>
      </c>
      <c r="B43" s="75">
        <v>6.2119999999999997</v>
      </c>
      <c r="C43" s="76">
        <v>124.2</v>
      </c>
      <c r="D43" s="76"/>
      <c r="E43" s="77"/>
      <c r="F43" s="100">
        <f>C43/(C41+C42+C43)</f>
        <v>1.8358702438839802E-2</v>
      </c>
      <c r="G43" s="87"/>
      <c r="H43" s="87"/>
      <c r="I43" s="87"/>
      <c r="M43" s="21"/>
      <c r="N43" s="21"/>
      <c r="O43" s="21"/>
      <c r="P43" s="21"/>
      <c r="Q43" s="11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</row>
    <row r="44" spans="1:63" ht="15" thickBot="1" x14ac:dyDescent="0.45">
      <c r="A44" s="1" t="s">
        <v>252</v>
      </c>
      <c r="B44" s="78"/>
      <c r="C44" s="78"/>
      <c r="D44" s="78"/>
      <c r="E44" s="78"/>
      <c r="F44" s="79"/>
      <c r="G44" s="87"/>
      <c r="H44" s="87"/>
      <c r="I44" s="87"/>
      <c r="M44" s="105" t="s">
        <v>277</v>
      </c>
      <c r="N44" s="105"/>
      <c r="O44" s="105"/>
      <c r="P44" s="105"/>
      <c r="Q44" s="112"/>
      <c r="R44" s="112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N44" t="s">
        <v>410</v>
      </c>
    </row>
    <row r="45" spans="1:63" x14ac:dyDescent="0.4">
      <c r="A45" t="s">
        <v>0</v>
      </c>
      <c r="B45" s="66" t="s">
        <v>2</v>
      </c>
      <c r="C45" s="67" t="s">
        <v>1</v>
      </c>
      <c r="D45" s="67" t="s">
        <v>113</v>
      </c>
      <c r="E45" s="11" t="s">
        <v>69</v>
      </c>
      <c r="F45" s="65" t="s">
        <v>180</v>
      </c>
      <c r="G45" s="21"/>
      <c r="H45" s="21"/>
      <c r="I45" s="21"/>
      <c r="M45" s="105" t="s">
        <v>187</v>
      </c>
      <c r="N45" s="105" t="s">
        <v>272</v>
      </c>
      <c r="O45" s="105" t="s">
        <v>188</v>
      </c>
      <c r="P45" s="105" t="s">
        <v>208</v>
      </c>
      <c r="Q45" s="112" t="s">
        <v>294</v>
      </c>
      <c r="R45" s="112" t="s">
        <v>295</v>
      </c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105" t="s">
        <v>360</v>
      </c>
      <c r="AF45" s="115"/>
      <c r="AG45" s="115"/>
      <c r="AH45" s="115"/>
      <c r="AI45" s="115"/>
      <c r="AJ45" s="115"/>
      <c r="AK45" s="115"/>
      <c r="AN45" s="105" t="s">
        <v>361</v>
      </c>
      <c r="AO45" s="115"/>
      <c r="AP45" s="115"/>
      <c r="AQ45" s="115"/>
      <c r="AR45" s="115"/>
      <c r="AS45" s="115"/>
      <c r="AT45" s="115"/>
    </row>
    <row r="46" spans="1:63" x14ac:dyDescent="0.4">
      <c r="A46" t="s">
        <v>3</v>
      </c>
      <c r="B46" s="18">
        <v>3.1</v>
      </c>
      <c r="C46" s="59">
        <v>6550.2</v>
      </c>
      <c r="D46" s="8">
        <f>C46/C48</f>
        <v>53.210398050365555</v>
      </c>
      <c r="E46" s="74">
        <f>(D47+0.0045)/0.0056</f>
        <v>3.5597510734594406</v>
      </c>
      <c r="F46" s="97">
        <f>(C47/(C46+C47))</f>
        <v>2.8998336411226937E-4</v>
      </c>
      <c r="G46" s="21"/>
      <c r="H46" s="21"/>
      <c r="I46" s="21"/>
      <c r="L46" s="108" t="s">
        <v>428</v>
      </c>
      <c r="M46" s="176" t="s">
        <v>268</v>
      </c>
      <c r="N46" s="166" t="s">
        <v>278</v>
      </c>
      <c r="O46" s="101">
        <v>0.5</v>
      </c>
      <c r="P46" s="102">
        <f>E68</f>
        <v>0.80357142857142849</v>
      </c>
      <c r="Q46" s="160">
        <f>(P48-P47)/0.5</f>
        <v>0.81275062487057959</v>
      </c>
      <c r="R46" s="160">
        <f>Q46/(0.251/1000)</f>
        <v>3238.0502982891621</v>
      </c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 t="s">
        <v>342</v>
      </c>
      <c r="AF46" s="59" t="s">
        <v>351</v>
      </c>
      <c r="AG46" s="59" t="s">
        <v>362</v>
      </c>
      <c r="AH46" s="59" t="s">
        <v>363</v>
      </c>
      <c r="AI46" s="59" t="s">
        <v>295</v>
      </c>
      <c r="AJ46" s="65" t="s">
        <v>45</v>
      </c>
      <c r="AK46" s="59" t="s">
        <v>47</v>
      </c>
      <c r="AN46" s="59" t="s">
        <v>342</v>
      </c>
      <c r="AO46" s="59" t="s">
        <v>351</v>
      </c>
      <c r="AP46" s="59" t="s">
        <v>362</v>
      </c>
      <c r="AQ46" s="59" t="s">
        <v>363</v>
      </c>
      <c r="AR46" s="59" t="s">
        <v>295</v>
      </c>
      <c r="AS46" s="65" t="s">
        <v>45</v>
      </c>
      <c r="AT46" s="59" t="s">
        <v>47</v>
      </c>
    </row>
    <row r="47" spans="1:63" x14ac:dyDescent="0.4">
      <c r="A47" t="s">
        <v>5</v>
      </c>
      <c r="B47" s="18">
        <v>4.83</v>
      </c>
      <c r="C47" s="59">
        <v>1.9</v>
      </c>
      <c r="D47" s="32">
        <f>C47/C48</f>
        <v>1.5434606011372868E-2</v>
      </c>
      <c r="E47" s="13"/>
      <c r="F47" s="72"/>
      <c r="G47" s="21"/>
      <c r="H47" s="21"/>
      <c r="I47" s="21"/>
      <c r="L47" s="109">
        <f>D79</f>
        <v>5.5665722379603403E-3</v>
      </c>
      <c r="M47" s="176"/>
      <c r="N47" s="166"/>
      <c r="O47" s="101">
        <v>1</v>
      </c>
      <c r="P47" s="102">
        <f>E73</f>
        <v>1.391226872914771</v>
      </c>
      <c r="Q47" s="160"/>
      <c r="R47" s="160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101" t="s">
        <v>346</v>
      </c>
      <c r="AF47" s="118" t="s">
        <v>352</v>
      </c>
      <c r="AG47" s="101" t="s">
        <v>356</v>
      </c>
      <c r="AH47" s="102">
        <f>1.95/1000*2.86/0.5/44400*1000*1000</f>
        <v>0.2512162162162162</v>
      </c>
      <c r="AI47" s="119">
        <f>R46</f>
        <v>3238.0502982891621</v>
      </c>
      <c r="AJ47" s="127">
        <f>AVERAGE(AI47,AI48)</f>
        <v>3457.2035393300621</v>
      </c>
      <c r="AK47" s="101">
        <f>STDEV(AI47,AI48)</f>
        <v>309.92948571806039</v>
      </c>
      <c r="AN47" s="101" t="s">
        <v>346</v>
      </c>
      <c r="AO47" s="118" t="s">
        <v>352</v>
      </c>
      <c r="AP47" s="101" t="s">
        <v>356</v>
      </c>
      <c r="AQ47" s="101">
        <f>0.0444*0.5*0.185/0.5/44400*1000*1000</f>
        <v>0.18500000000000003</v>
      </c>
      <c r="AR47" s="119">
        <f>R54</f>
        <v>9225.4964117252839</v>
      </c>
      <c r="AS47" s="127">
        <f>AVERAGE(AR47,AR48)</f>
        <v>10439.471278432513</v>
      </c>
      <c r="AT47" s="101">
        <f>STDEV(AR47,AR48)</f>
        <v>1716.8197208774363</v>
      </c>
    </row>
    <row r="48" spans="1:63" ht="15" thickBot="1" x14ac:dyDescent="0.45">
      <c r="A48" t="s">
        <v>4</v>
      </c>
      <c r="B48" s="20">
        <v>6.2119999999999997</v>
      </c>
      <c r="C48" s="16">
        <v>123.1</v>
      </c>
      <c r="D48" s="16"/>
      <c r="E48" s="24"/>
      <c r="F48" s="100">
        <f>C48/(C46+C47+C48)</f>
        <v>1.8441395014381592E-2</v>
      </c>
      <c r="G48" s="21"/>
      <c r="H48" s="21"/>
      <c r="I48" s="21"/>
      <c r="L48" s="108" t="s">
        <v>427</v>
      </c>
      <c r="M48" s="176"/>
      <c r="N48" s="166"/>
      <c r="O48" s="101">
        <v>1.5</v>
      </c>
      <c r="P48" s="102">
        <f>E78</f>
        <v>1.7976021853500608</v>
      </c>
      <c r="Q48" s="160"/>
      <c r="R48" s="160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101" t="s">
        <v>346</v>
      </c>
      <c r="AF48" s="118" t="s">
        <v>352</v>
      </c>
      <c r="AG48" s="101" t="s">
        <v>356</v>
      </c>
      <c r="AH48" s="102">
        <f>0.78/1000*2.86/0.5/44400*1000*1000</f>
        <v>0.10048648648648648</v>
      </c>
      <c r="AI48" s="119">
        <f>R50</f>
        <v>3676.3567803709616</v>
      </c>
      <c r="AJ48" s="121"/>
      <c r="AK48" s="101"/>
      <c r="AN48" s="101" t="s">
        <v>346</v>
      </c>
      <c r="AO48" s="118" t="s">
        <v>352</v>
      </c>
      <c r="AP48" s="101" t="s">
        <v>356</v>
      </c>
      <c r="AQ48" s="102">
        <f>0.0222*0.5*0.185/0.5/44400*1000*1000</f>
        <v>9.2500000000000013E-2</v>
      </c>
      <c r="AR48" s="119">
        <f>R58</f>
        <v>11653.446145139742</v>
      </c>
      <c r="AS48" s="121"/>
      <c r="AT48" s="101"/>
    </row>
    <row r="49" spans="1:46" x14ac:dyDescent="0.4">
      <c r="A49" s="4" t="s">
        <v>186</v>
      </c>
      <c r="B49" s="4"/>
      <c r="C49" s="4"/>
      <c r="D49" s="4"/>
      <c r="E49" s="4"/>
      <c r="F49" s="4"/>
      <c r="G49" s="4"/>
      <c r="H49" s="4"/>
      <c r="I49" s="4"/>
      <c r="L49" s="109">
        <f>L47/1.5</f>
        <v>3.711048158640227E-3</v>
      </c>
      <c r="M49" s="176"/>
      <c r="N49" s="166"/>
      <c r="O49" s="101"/>
      <c r="P49" s="102"/>
      <c r="Q49" s="160"/>
      <c r="R49" s="160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103" t="s">
        <v>349</v>
      </c>
      <c r="AF49" s="124" t="s">
        <v>353</v>
      </c>
      <c r="AG49" s="103" t="s">
        <v>356</v>
      </c>
      <c r="AH49" s="104">
        <f>1.95/1000*2.86/0.5/44400*1000*1000</f>
        <v>0.2512162162162162</v>
      </c>
      <c r="AI49" s="125">
        <f>R25</f>
        <v>4069.4865597745343</v>
      </c>
      <c r="AJ49" s="128">
        <f>AVERAGE(AI49,AI50)</f>
        <v>3711.8367699643486</v>
      </c>
      <c r="AK49" s="103">
        <f>STDEV(AI49,AI50)</f>
        <v>505.79318332945104</v>
      </c>
      <c r="AN49" s="103" t="s">
        <v>349</v>
      </c>
      <c r="AO49" s="124" t="s">
        <v>353</v>
      </c>
      <c r="AP49" s="103" t="s">
        <v>356</v>
      </c>
      <c r="AQ49" s="103">
        <f>0.0444*0.5*0.185/0.5/44400*1000*1000</f>
        <v>0.18500000000000003</v>
      </c>
      <c r="AR49" s="125">
        <f>R33</f>
        <v>14501.738797998467</v>
      </c>
      <c r="AS49" s="128">
        <f>AVERAGE(AR49,AR50)</f>
        <v>14158.139286679532</v>
      </c>
      <c r="AT49" s="103">
        <f>STDEV(AR49,AR50)</f>
        <v>485.92308893200521</v>
      </c>
    </row>
    <row r="50" spans="1:46" ht="15" thickBot="1" x14ac:dyDescent="0.45">
      <c r="A50" s="1" t="s">
        <v>247</v>
      </c>
      <c r="B50" s="1"/>
      <c r="C50" s="1"/>
      <c r="D50" s="1"/>
      <c r="E50" s="1"/>
      <c r="F50" s="1"/>
      <c r="G50" s="60"/>
      <c r="H50" s="60"/>
      <c r="I50" s="60"/>
      <c r="M50" s="167" t="s">
        <v>269</v>
      </c>
      <c r="N50" s="167" t="s">
        <v>273</v>
      </c>
      <c r="O50" s="103">
        <v>0.5</v>
      </c>
      <c r="P50" s="104">
        <f>E84</f>
        <v>0.80357142857142849</v>
      </c>
      <c r="Q50" s="159">
        <f>(P52-P51)/0.5</f>
        <v>0.36763567803709618</v>
      </c>
      <c r="R50" s="159">
        <f>Q50/(0.1/1000)</f>
        <v>3676.3567803709616</v>
      </c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103" t="s">
        <v>349</v>
      </c>
      <c r="AF50" s="124" t="s">
        <v>353</v>
      </c>
      <c r="AG50" s="103" t="s">
        <v>356</v>
      </c>
      <c r="AH50" s="104">
        <f>0.78/1000*2.86/0.5/44400*1000*1000</f>
        <v>0.10048648648648648</v>
      </c>
      <c r="AI50" s="125">
        <f>R29</f>
        <v>3354.1869801541634</v>
      </c>
      <c r="AJ50" s="126"/>
      <c r="AK50" s="103"/>
      <c r="AN50" s="103" t="s">
        <v>349</v>
      </c>
      <c r="AO50" s="124" t="s">
        <v>353</v>
      </c>
      <c r="AP50" s="103" t="s">
        <v>356</v>
      </c>
      <c r="AQ50" s="104">
        <f>0.0222*0.5*0.185/0.5/44400*1000*1000</f>
        <v>9.2500000000000013E-2</v>
      </c>
      <c r="AR50" s="125">
        <f>R37</f>
        <v>13814.539775360598</v>
      </c>
      <c r="AS50" s="126"/>
      <c r="AT50" s="103"/>
    </row>
    <row r="51" spans="1:46" x14ac:dyDescent="0.4">
      <c r="A51" s="65" t="s">
        <v>0</v>
      </c>
      <c r="B51" s="66" t="s">
        <v>2</v>
      </c>
      <c r="C51" s="67" t="s">
        <v>1</v>
      </c>
      <c r="D51" s="67" t="s">
        <v>113</v>
      </c>
      <c r="E51" s="11" t="s">
        <v>69</v>
      </c>
      <c r="F51" s="65" t="s">
        <v>180</v>
      </c>
      <c r="G51" s="59"/>
      <c r="H51" s="59"/>
      <c r="I51" s="59"/>
      <c r="M51" s="167"/>
      <c r="N51" s="167"/>
      <c r="O51" s="103">
        <v>1</v>
      </c>
      <c r="P51" s="104">
        <f>E89</f>
        <v>1.348012399708242</v>
      </c>
      <c r="Q51" s="159"/>
      <c r="R51" s="1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101" t="s">
        <v>345</v>
      </c>
      <c r="AF51" s="101" t="s">
        <v>354</v>
      </c>
      <c r="AG51" s="101" t="s">
        <v>356</v>
      </c>
      <c r="AH51" s="102">
        <f>1.95/1000*2.86/0.5/44400*1000*1000</f>
        <v>0.2512162162162162</v>
      </c>
      <c r="AI51" s="119">
        <f>R4</f>
        <v>5399.7499795889453</v>
      </c>
      <c r="AJ51" s="127">
        <f>AVERAGE(AI51,AI52)</f>
        <v>5154.5650270863644</v>
      </c>
      <c r="AK51" s="101">
        <f>STDEV(AI51,AI52)</f>
        <v>346.7438851189537</v>
      </c>
      <c r="AN51" s="101" t="s">
        <v>345</v>
      </c>
      <c r="AO51" s="101" t="s">
        <v>354</v>
      </c>
      <c r="AP51" s="101" t="s">
        <v>356</v>
      </c>
      <c r="AQ51" s="101">
        <f>0.0444*0.5*0.185/0.5/44400*1000*1000</f>
        <v>0.18500000000000003</v>
      </c>
      <c r="AR51" s="119">
        <f>R12</f>
        <v>18846.615505094276</v>
      </c>
      <c r="AS51" s="127">
        <f>AVERAGE(AR51,AR52)</f>
        <v>18842.873667266678</v>
      </c>
      <c r="AT51" s="101">
        <f>STDEV(AR51,AR52)</f>
        <v>5.2917578039870845</v>
      </c>
    </row>
    <row r="52" spans="1:46" x14ac:dyDescent="0.4">
      <c r="A52" s="65" t="s">
        <v>3</v>
      </c>
      <c r="B52" s="70">
        <v>3.1</v>
      </c>
      <c r="C52" s="71">
        <v>6811.8</v>
      </c>
      <c r="D52" s="72">
        <f>C52/C54</f>
        <v>53.933491686460812</v>
      </c>
      <c r="E52" s="74">
        <f>(D53+0.0045)/0.0056</f>
        <v>1.2772169437846397</v>
      </c>
      <c r="F52" s="97">
        <f>(C53/(C52+C53))</f>
        <v>4.9176946728154976E-5</v>
      </c>
      <c r="G52" s="59"/>
      <c r="H52" s="59"/>
      <c r="I52" s="59"/>
      <c r="M52" s="167"/>
      <c r="N52" s="167"/>
      <c r="O52" s="103">
        <v>1.5</v>
      </c>
      <c r="P52" s="104">
        <f>E94</f>
        <v>1.5318302387267901</v>
      </c>
      <c r="Q52" s="159"/>
      <c r="R52" s="1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101" t="s">
        <v>345</v>
      </c>
      <c r="AF52" s="101" t="s">
        <v>354</v>
      </c>
      <c r="AG52" s="101" t="s">
        <v>356</v>
      </c>
      <c r="AH52" s="102">
        <f>0.78/1000*2.86/0.5/44400*1000*1000</f>
        <v>0.10048648648648648</v>
      </c>
      <c r="AI52" s="119">
        <f>R8</f>
        <v>4909.3800745837825</v>
      </c>
      <c r="AJ52" s="120"/>
      <c r="AK52" s="101"/>
      <c r="AN52" s="101" t="s">
        <v>345</v>
      </c>
      <c r="AO52" s="101" t="s">
        <v>354</v>
      </c>
      <c r="AP52" s="101" t="s">
        <v>356</v>
      </c>
      <c r="AQ52" s="102">
        <f>0.0222*0.5*0.185/0.5/44400*1000*1000</f>
        <v>9.2500000000000013E-2</v>
      </c>
      <c r="AR52" s="119">
        <f>R16</f>
        <v>18839.131829439084</v>
      </c>
      <c r="AS52" s="120"/>
      <c r="AT52" s="101"/>
    </row>
    <row r="53" spans="1:46" x14ac:dyDescent="0.4">
      <c r="A53" s="65" t="s">
        <v>5</v>
      </c>
      <c r="B53" s="70">
        <v>4.83</v>
      </c>
      <c r="C53" s="71">
        <v>0.33500000000000002</v>
      </c>
      <c r="D53" s="31">
        <f>C53/C54</f>
        <v>2.6524148851939829E-3</v>
      </c>
      <c r="E53" s="74"/>
      <c r="F53" s="72"/>
      <c r="G53" s="59"/>
      <c r="H53" s="59"/>
      <c r="I53" s="59"/>
      <c r="M53" s="167"/>
      <c r="N53" s="167"/>
      <c r="O53" s="103"/>
      <c r="P53" s="104"/>
      <c r="Q53" s="159"/>
      <c r="R53" s="1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103"/>
      <c r="AF53" s="103"/>
      <c r="AG53" s="103"/>
      <c r="AH53" s="103"/>
      <c r="AI53" s="125"/>
      <c r="AK53" s="59"/>
      <c r="AN53" s="103"/>
      <c r="AO53" s="103"/>
      <c r="AP53" s="103"/>
      <c r="AQ53" s="103"/>
      <c r="AR53" s="125"/>
      <c r="AT53" s="59"/>
    </row>
    <row r="54" spans="1:46" ht="15" thickBot="1" x14ac:dyDescent="0.45">
      <c r="A54" s="65" t="s">
        <v>4</v>
      </c>
      <c r="B54" s="75">
        <v>6.2119999999999997</v>
      </c>
      <c r="C54" s="76">
        <v>126.3</v>
      </c>
      <c r="D54" s="76"/>
      <c r="E54" s="77"/>
      <c r="F54" s="100">
        <f>C54/(C52+C53+C54)</f>
        <v>1.8202952106634997E-2</v>
      </c>
      <c r="G54" s="59"/>
      <c r="H54" s="59"/>
      <c r="I54" s="59"/>
      <c r="L54" s="108" t="s">
        <v>428</v>
      </c>
      <c r="M54" s="176" t="s">
        <v>270</v>
      </c>
      <c r="N54" s="166" t="s">
        <v>274</v>
      </c>
      <c r="O54" s="101">
        <v>0.5</v>
      </c>
      <c r="P54" s="102">
        <f>E100</f>
        <v>1.3862421168083356</v>
      </c>
      <c r="Q54" s="160">
        <f>(P56-P55)/0.5</f>
        <v>1.7067168361691776</v>
      </c>
      <c r="R54" s="160">
        <f>Q54/(0.185/1000)</f>
        <v>9225.4964117252839</v>
      </c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103"/>
      <c r="AF54" s="103"/>
      <c r="AG54" s="103"/>
      <c r="AH54" s="103"/>
      <c r="AI54" s="125"/>
      <c r="AJ54" s="129"/>
      <c r="AK54" s="59"/>
      <c r="AN54" s="103"/>
      <c r="AO54" s="103"/>
      <c r="AP54" s="103"/>
      <c r="AQ54" s="103"/>
      <c r="AR54" s="125"/>
      <c r="AS54" s="129"/>
      <c r="AT54" s="59"/>
    </row>
    <row r="55" spans="1:46" ht="15" thickBot="1" x14ac:dyDescent="0.45">
      <c r="A55" s="1" t="s">
        <v>248</v>
      </c>
      <c r="B55" s="78"/>
      <c r="C55" s="78"/>
      <c r="D55" s="78"/>
      <c r="E55" s="78"/>
      <c r="F55" s="78"/>
      <c r="G55" s="87"/>
      <c r="H55" s="87"/>
      <c r="I55" s="87"/>
      <c r="L55" s="109">
        <f>D111</f>
        <v>1.1646586345381526E-2</v>
      </c>
      <c r="M55" s="176"/>
      <c r="N55" s="166"/>
      <c r="O55" s="101">
        <v>1</v>
      </c>
      <c r="P55" s="102">
        <f>E105</f>
        <v>2.0299605721621123</v>
      </c>
      <c r="Q55" s="160"/>
      <c r="R55" s="160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101"/>
      <c r="AF55" s="118"/>
      <c r="AG55" s="101"/>
      <c r="AH55" s="101"/>
      <c r="AI55" s="119"/>
      <c r="AJ55" s="127"/>
      <c r="AK55" s="88"/>
      <c r="AN55" s="101"/>
      <c r="AO55" s="118"/>
      <c r="AP55" s="101"/>
      <c r="AQ55" s="101"/>
      <c r="AR55" s="119"/>
      <c r="AS55" s="127"/>
      <c r="AT55" s="88"/>
    </row>
    <row r="56" spans="1:46" x14ac:dyDescent="0.4">
      <c r="A56" s="65" t="s">
        <v>0</v>
      </c>
      <c r="B56" s="66" t="s">
        <v>2</v>
      </c>
      <c r="C56" s="67" t="s">
        <v>1</v>
      </c>
      <c r="D56" s="67" t="s">
        <v>113</v>
      </c>
      <c r="E56" s="11" t="s">
        <v>69</v>
      </c>
      <c r="F56" s="65" t="s">
        <v>180</v>
      </c>
      <c r="G56" s="87"/>
      <c r="H56" s="87"/>
      <c r="I56" s="87"/>
      <c r="L56" s="108" t="s">
        <v>427</v>
      </c>
      <c r="M56" s="176"/>
      <c r="N56" s="166"/>
      <c r="O56" s="101">
        <v>1.5</v>
      </c>
      <c r="P56" s="102">
        <f>E110</f>
        <v>2.8833189902467011</v>
      </c>
      <c r="Q56" s="160"/>
      <c r="R56" s="160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101"/>
      <c r="AF56" s="118"/>
      <c r="AG56" s="101"/>
      <c r="AH56" s="101"/>
      <c r="AI56" s="119"/>
      <c r="AJ56" s="121"/>
      <c r="AK56" s="88"/>
      <c r="AN56" s="101"/>
      <c r="AO56" s="118"/>
      <c r="AP56" s="101"/>
      <c r="AQ56" s="101"/>
      <c r="AR56" s="119"/>
      <c r="AS56" s="121"/>
      <c r="AT56" s="88"/>
    </row>
    <row r="57" spans="1:46" x14ac:dyDescent="0.4">
      <c r="A57" s="65" t="s">
        <v>3</v>
      </c>
      <c r="B57" s="70">
        <v>3.14</v>
      </c>
      <c r="C57" s="59">
        <v>6658.1</v>
      </c>
      <c r="D57" s="72">
        <f>C57/C59</f>
        <v>53.521704180064312</v>
      </c>
      <c r="E57" s="74">
        <f>(D58+0.0045)/0.0056</f>
        <v>1.8916513550757925</v>
      </c>
      <c r="F57" s="97">
        <f>(C58/(C57+C58))</f>
        <v>1.138333329829229E-4</v>
      </c>
      <c r="G57" s="87"/>
      <c r="H57" s="87"/>
      <c r="I57" s="87"/>
      <c r="L57" s="109">
        <f>L55/1.5</f>
        <v>7.764390896921017E-3</v>
      </c>
      <c r="M57" s="176"/>
      <c r="N57" s="166"/>
      <c r="O57" s="101"/>
      <c r="P57" s="102"/>
      <c r="Q57" s="160"/>
      <c r="R57" s="160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103"/>
      <c r="AF57" s="103"/>
      <c r="AG57" s="103"/>
      <c r="AH57" s="103"/>
      <c r="AI57" s="125"/>
      <c r="AJ57" s="128"/>
      <c r="AK57" s="59"/>
      <c r="AN57" s="103"/>
      <c r="AO57" s="103"/>
      <c r="AP57" s="103"/>
      <c r="AQ57" s="103"/>
      <c r="AR57" s="125"/>
      <c r="AS57" s="128"/>
      <c r="AT57" s="59"/>
    </row>
    <row r="58" spans="1:46" x14ac:dyDescent="0.4">
      <c r="A58" s="65" t="s">
        <v>5</v>
      </c>
      <c r="B58" s="70">
        <v>4.83</v>
      </c>
      <c r="C58" s="59">
        <v>0.75800000000000001</v>
      </c>
      <c r="D58" s="31">
        <f>C58/C59</f>
        <v>6.0932475884244372E-3</v>
      </c>
      <c r="E58" s="74"/>
      <c r="F58" s="72"/>
      <c r="G58" s="87"/>
      <c r="H58" s="87"/>
      <c r="I58" s="87"/>
      <c r="M58" s="167" t="s">
        <v>271</v>
      </c>
      <c r="N58" s="167" t="s">
        <v>275</v>
      </c>
      <c r="O58" s="103">
        <v>0.5</v>
      </c>
      <c r="P58" s="104">
        <f>E116</f>
        <v>1.2995330641090359</v>
      </c>
      <c r="Q58" s="159">
        <f>(P60-P59)/0.5</f>
        <v>1.083770491497996</v>
      </c>
      <c r="R58" s="159">
        <f>Q58/(0.093/1000)</f>
        <v>11653.446145139742</v>
      </c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103"/>
      <c r="AF58" s="103"/>
      <c r="AG58" s="103"/>
      <c r="AH58" s="103"/>
      <c r="AI58" s="125"/>
      <c r="AJ58" s="129"/>
      <c r="AK58" s="59"/>
      <c r="AN58" s="103"/>
      <c r="AO58" s="103"/>
      <c r="AP58" s="103"/>
      <c r="AQ58" s="103"/>
      <c r="AR58" s="125"/>
      <c r="AS58" s="129"/>
      <c r="AT58" s="59"/>
    </row>
    <row r="59" spans="1:46" ht="15" thickBot="1" x14ac:dyDescent="0.45">
      <c r="A59" s="65" t="s">
        <v>4</v>
      </c>
      <c r="B59" s="75">
        <v>6.2119999999999997</v>
      </c>
      <c r="C59" s="76">
        <v>124.4</v>
      </c>
      <c r="D59" s="76"/>
      <c r="E59" s="77"/>
      <c r="F59" s="100">
        <f>C59/(C57+C58+C59)</f>
        <v>1.8339270008600587E-2</v>
      </c>
      <c r="G59" s="87"/>
      <c r="H59" s="87"/>
      <c r="I59" s="87"/>
      <c r="M59" s="167"/>
      <c r="N59" s="167"/>
      <c r="O59" s="103">
        <v>1</v>
      </c>
      <c r="P59" s="104">
        <f>E121</f>
        <v>1.6614768683274022</v>
      </c>
      <c r="Q59" s="159"/>
      <c r="R59" s="159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K59" s="88"/>
      <c r="AT59" s="88"/>
    </row>
    <row r="60" spans="1:46" ht="15" thickBot="1" x14ac:dyDescent="0.45">
      <c r="A60" s="1" t="s">
        <v>249</v>
      </c>
      <c r="B60" s="78"/>
      <c r="C60" s="78"/>
      <c r="D60" s="78"/>
      <c r="E60" s="78"/>
      <c r="F60" s="79"/>
      <c r="G60" s="87"/>
      <c r="H60" s="87"/>
      <c r="I60" s="87"/>
      <c r="M60" s="167"/>
      <c r="N60" s="167"/>
      <c r="O60" s="103">
        <v>1.5</v>
      </c>
      <c r="P60" s="104">
        <f>E126</f>
        <v>2.2033621140764001</v>
      </c>
      <c r="Q60" s="159"/>
      <c r="R60" s="159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K60" s="88"/>
      <c r="AT60" s="88"/>
    </row>
    <row r="61" spans="1:46" x14ac:dyDescent="0.4">
      <c r="A61" t="s">
        <v>0</v>
      </c>
      <c r="B61" s="66" t="s">
        <v>2</v>
      </c>
      <c r="C61" s="67" t="s">
        <v>1</v>
      </c>
      <c r="D61" s="67" t="s">
        <v>113</v>
      </c>
      <c r="E61" s="11" t="s">
        <v>69</v>
      </c>
      <c r="F61" s="65" t="s">
        <v>180</v>
      </c>
      <c r="G61" s="21"/>
      <c r="H61" s="21"/>
      <c r="I61" s="21"/>
      <c r="M61" s="167"/>
      <c r="N61" s="167"/>
      <c r="O61" s="103"/>
      <c r="P61" s="104"/>
      <c r="Q61" s="159"/>
      <c r="R61" s="159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K61" s="59"/>
      <c r="AT61" s="59"/>
    </row>
    <row r="62" spans="1:46" x14ac:dyDescent="0.4">
      <c r="A62" t="s">
        <v>3</v>
      </c>
      <c r="B62" s="18">
        <v>3.1</v>
      </c>
      <c r="C62" s="59">
        <v>6524.2</v>
      </c>
      <c r="D62" s="8">
        <f>C62/C64</f>
        <v>53.128664495114009</v>
      </c>
      <c r="E62" s="74">
        <f>(D63+0.0045)/0.0056</f>
        <v>2.5340274546300603</v>
      </c>
      <c r="F62" s="97">
        <f>(C63/(C62+C63))</f>
        <v>1.8236457897535628E-4</v>
      </c>
      <c r="G62" s="21"/>
      <c r="H62" s="21"/>
      <c r="I62" s="21"/>
      <c r="M62" s="21"/>
      <c r="N62" s="21"/>
      <c r="O62" s="21"/>
      <c r="P62" s="21"/>
      <c r="Q62" s="11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K62" s="59"/>
      <c r="AT62" s="59"/>
    </row>
    <row r="63" spans="1:46" x14ac:dyDescent="0.4">
      <c r="A63" t="s">
        <v>5</v>
      </c>
      <c r="B63" s="18">
        <v>4.83</v>
      </c>
      <c r="C63" s="59">
        <v>1.19</v>
      </c>
      <c r="D63" s="32">
        <f>C63/C64</f>
        <v>9.6905537459283392E-3</v>
      </c>
      <c r="E63" s="13"/>
      <c r="F63" s="72"/>
      <c r="G63" s="21"/>
      <c r="H63" s="21"/>
      <c r="I63" s="21"/>
      <c r="M63" s="21"/>
      <c r="N63" s="21"/>
      <c r="O63" s="21"/>
      <c r="P63" s="21"/>
      <c r="Q63" s="11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K63" s="21"/>
      <c r="AT63" s="21"/>
    </row>
    <row r="64" spans="1:46" ht="15" thickBot="1" x14ac:dyDescent="0.45">
      <c r="A64" t="s">
        <v>4</v>
      </c>
      <c r="B64" s="20">
        <v>6.2119999999999997</v>
      </c>
      <c r="C64" s="16">
        <v>122.8</v>
      </c>
      <c r="D64" s="16"/>
      <c r="E64" s="24"/>
      <c r="F64" s="100">
        <f>C64/(C62+C63+C64)</f>
        <v>1.8471192911153261E-2</v>
      </c>
      <c r="G64" s="21"/>
      <c r="H64" s="21"/>
      <c r="I64" s="21"/>
      <c r="M64" s="21"/>
      <c r="N64" s="21"/>
      <c r="O64" s="21"/>
      <c r="P64" s="21"/>
      <c r="Q64" s="11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K64" s="21"/>
      <c r="AT64" s="21"/>
    </row>
    <row r="65" spans="1:46" x14ac:dyDescent="0.4">
      <c r="A65" s="4" t="s">
        <v>186</v>
      </c>
      <c r="B65" s="4"/>
      <c r="C65" s="4"/>
      <c r="D65" s="4"/>
      <c r="E65" s="4"/>
      <c r="F65" s="4"/>
      <c r="G65" s="4"/>
      <c r="H65" s="4"/>
      <c r="I65" s="4"/>
      <c r="M65" s="105" t="s">
        <v>308</v>
      </c>
      <c r="N65" s="105"/>
      <c r="O65" s="105"/>
      <c r="P65" s="105"/>
      <c r="Q65" s="112"/>
      <c r="R65" s="112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K65" s="21"/>
      <c r="AT65" s="21"/>
    </row>
    <row r="66" spans="1:46" ht="15" thickBot="1" x14ac:dyDescent="0.45">
      <c r="A66" s="1" t="s">
        <v>253</v>
      </c>
      <c r="B66" s="1"/>
      <c r="C66" s="1"/>
      <c r="D66" s="1"/>
      <c r="E66" s="1"/>
      <c r="F66" s="1"/>
      <c r="G66" s="60"/>
      <c r="H66" s="60"/>
      <c r="I66" s="60"/>
      <c r="M66" s="105" t="s">
        <v>187</v>
      </c>
      <c r="N66" s="105" t="s">
        <v>272</v>
      </c>
      <c r="O66" s="105" t="s">
        <v>188</v>
      </c>
      <c r="P66" s="105" t="s">
        <v>208</v>
      </c>
      <c r="Q66" s="112" t="s">
        <v>294</v>
      </c>
      <c r="R66" s="112" t="s">
        <v>295</v>
      </c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K66" s="59"/>
      <c r="AT66" s="59"/>
    </row>
    <row r="67" spans="1:46" x14ac:dyDescent="0.4">
      <c r="A67" s="65" t="s">
        <v>0</v>
      </c>
      <c r="B67" s="66" t="s">
        <v>2</v>
      </c>
      <c r="C67" s="67" t="s">
        <v>1</v>
      </c>
      <c r="D67" s="67" t="s">
        <v>113</v>
      </c>
      <c r="E67" s="11" t="s">
        <v>69</v>
      </c>
      <c r="F67" s="65" t="s">
        <v>180</v>
      </c>
      <c r="G67" s="59"/>
      <c r="H67" s="59"/>
      <c r="I67" s="59"/>
      <c r="M67" s="166" t="s">
        <v>309</v>
      </c>
      <c r="N67" s="166" t="s">
        <v>278</v>
      </c>
      <c r="O67" s="101">
        <v>0.5</v>
      </c>
      <c r="P67" s="102">
        <f>E196</f>
        <v>1.2503154972236243</v>
      </c>
      <c r="Q67" s="160">
        <f>(P69-P68)/0.5</f>
        <v>0.9554965928963397</v>
      </c>
      <c r="R67" s="160">
        <f>Q67/(0.25/1000)</f>
        <v>3821.9863715853589</v>
      </c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N67" s="59"/>
      <c r="AO67" s="59"/>
      <c r="AP67" s="59"/>
      <c r="AQ67" s="59"/>
      <c r="AR67" s="59"/>
      <c r="AS67" s="59"/>
      <c r="AT67" s="59"/>
    </row>
    <row r="68" spans="1:46" x14ac:dyDescent="0.4">
      <c r="A68" s="65" t="s">
        <v>3</v>
      </c>
      <c r="B68" s="70">
        <v>3.1</v>
      </c>
      <c r="C68" s="71">
        <v>7214.3</v>
      </c>
      <c r="D68" s="72">
        <f>C68/C70</f>
        <v>53.085356880058868</v>
      </c>
      <c r="E68" s="74">
        <f>(D69+0.0045)/0.0056</f>
        <v>0.80357142857142849</v>
      </c>
      <c r="F68" s="97">
        <f>(C69/(C68+C69))</f>
        <v>0</v>
      </c>
      <c r="G68" s="59"/>
      <c r="H68" s="59"/>
      <c r="I68" s="59"/>
      <c r="M68" s="166"/>
      <c r="N68" s="166"/>
      <c r="O68" s="101">
        <v>1</v>
      </c>
      <c r="P68" s="102">
        <f>E201</f>
        <v>1.671578825705039</v>
      </c>
      <c r="Q68" s="160"/>
      <c r="R68" s="160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89"/>
      <c r="AI68" s="59"/>
      <c r="AJ68" s="59"/>
      <c r="AK68" s="59"/>
      <c r="AN68" s="59"/>
      <c r="AO68" s="59"/>
      <c r="AP68" s="59"/>
      <c r="AQ68" s="89"/>
      <c r="AR68" s="59"/>
      <c r="AS68" s="59"/>
      <c r="AT68" s="59"/>
    </row>
    <row r="69" spans="1:46" x14ac:dyDescent="0.4">
      <c r="A69" s="65" t="s">
        <v>5</v>
      </c>
      <c r="B69" s="70">
        <v>4.83</v>
      </c>
      <c r="C69" s="71">
        <v>0</v>
      </c>
      <c r="D69" s="31">
        <f>C69/C70</f>
        <v>0</v>
      </c>
      <c r="E69" s="74"/>
      <c r="F69" s="72"/>
      <c r="G69" s="59"/>
      <c r="H69" s="59"/>
      <c r="I69" s="59"/>
      <c r="M69" s="166"/>
      <c r="N69" s="166"/>
      <c r="O69" s="101">
        <v>1.5</v>
      </c>
      <c r="P69" s="102">
        <f>E206</f>
        <v>2.1493271221532089</v>
      </c>
      <c r="Q69" s="160"/>
      <c r="R69" s="160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N69" s="59"/>
      <c r="AO69" s="59"/>
      <c r="AP69" s="59"/>
      <c r="AQ69" s="59"/>
      <c r="AR69" s="59"/>
      <c r="AS69" s="59"/>
      <c r="AT69" s="59"/>
    </row>
    <row r="70" spans="1:46" ht="15" thickBot="1" x14ac:dyDescent="0.45">
      <c r="A70" s="65" t="s">
        <v>4</v>
      </c>
      <c r="B70" s="75">
        <v>6.2119999999999997</v>
      </c>
      <c r="C70" s="76">
        <v>135.9</v>
      </c>
      <c r="D70" s="76"/>
      <c r="E70" s="77"/>
      <c r="F70" s="100">
        <f>C70/(C68+C69+C70)</f>
        <v>1.8489292808358957E-2</v>
      </c>
      <c r="G70" s="59"/>
      <c r="H70" s="59"/>
      <c r="I70" s="59"/>
      <c r="M70" s="166"/>
      <c r="N70" s="166"/>
      <c r="O70" s="101"/>
      <c r="P70" s="102"/>
      <c r="Q70" s="160"/>
      <c r="R70" s="160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89"/>
      <c r="AI70" s="59"/>
      <c r="AJ70" s="59"/>
      <c r="AK70" s="59"/>
    </row>
    <row r="71" spans="1:46" ht="15" thickBot="1" x14ac:dyDescent="0.45">
      <c r="A71" s="1" t="s">
        <v>254</v>
      </c>
      <c r="B71" s="78"/>
      <c r="C71" s="78"/>
      <c r="D71" s="78"/>
      <c r="E71" s="78"/>
      <c r="F71" s="78"/>
      <c r="G71" s="87"/>
      <c r="H71" s="87"/>
      <c r="I71" s="87"/>
      <c r="M71" s="167" t="s">
        <v>310</v>
      </c>
      <c r="N71" s="167" t="s">
        <v>273</v>
      </c>
      <c r="O71" s="103">
        <v>0.5</v>
      </c>
      <c r="P71" s="104">
        <f>E212</f>
        <v>0.80357142857142849</v>
      </c>
      <c r="Q71" s="159">
        <f>(P73-P72)/0.5</f>
        <v>0.59530607245127554</v>
      </c>
      <c r="R71" s="159">
        <f>Q71/(0.1/1000)</f>
        <v>5953.0607245127549</v>
      </c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137" t="s">
        <v>423</v>
      </c>
      <c r="AF71" s="137"/>
      <c r="AG71" s="137"/>
      <c r="AH71" s="137"/>
      <c r="AI71" s="137"/>
      <c r="AJ71" s="137"/>
      <c r="AK71" s="137"/>
      <c r="AL71" s="136"/>
      <c r="AM71" s="136"/>
      <c r="AN71" s="136"/>
    </row>
    <row r="72" spans="1:46" x14ac:dyDescent="0.4">
      <c r="A72" s="65" t="s">
        <v>0</v>
      </c>
      <c r="B72" s="66" t="s">
        <v>2</v>
      </c>
      <c r="C72" s="67" t="s">
        <v>1</v>
      </c>
      <c r="D72" s="67" t="s">
        <v>113</v>
      </c>
      <c r="E72" s="11" t="s">
        <v>69</v>
      </c>
      <c r="F72" s="65" t="s">
        <v>180</v>
      </c>
      <c r="G72" s="87"/>
      <c r="H72" s="87"/>
      <c r="I72" s="87"/>
      <c r="M72" s="167"/>
      <c r="N72" s="167"/>
      <c r="O72" s="103">
        <v>1</v>
      </c>
      <c r="P72" s="104">
        <f>E217</f>
        <v>1.4553513337670789</v>
      </c>
      <c r="Q72" s="159"/>
      <c r="R72" s="1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144" t="s">
        <v>407</v>
      </c>
      <c r="AF72" s="145"/>
      <c r="AG72" s="145"/>
      <c r="AH72" s="145"/>
      <c r="AI72" s="146"/>
      <c r="AJ72" s="155" t="s">
        <v>404</v>
      </c>
      <c r="AK72" s="156"/>
      <c r="AL72" s="156"/>
      <c r="AM72" s="145"/>
      <c r="AN72" s="146"/>
    </row>
    <row r="73" spans="1:46" x14ac:dyDescent="0.4">
      <c r="A73" s="65" t="s">
        <v>3</v>
      </c>
      <c r="B73" s="70">
        <v>3.14</v>
      </c>
      <c r="C73" s="59">
        <v>7359.6</v>
      </c>
      <c r="D73" s="72">
        <f>C73/C75</f>
        <v>52.08492569002123</v>
      </c>
      <c r="E73" s="74">
        <f>(D74+0.0045)/0.0056</f>
        <v>1.391226872914771</v>
      </c>
      <c r="F73" s="97">
        <f>(C74/(C73+C74))</f>
        <v>6.3178789861230848E-5</v>
      </c>
      <c r="G73" s="87"/>
      <c r="H73" s="87"/>
      <c r="I73" s="87"/>
      <c r="M73" s="167"/>
      <c r="N73" s="167"/>
      <c r="O73" s="103">
        <v>1.5</v>
      </c>
      <c r="P73" s="104">
        <f>E222</f>
        <v>1.7530043699927167</v>
      </c>
      <c r="Q73" s="159"/>
      <c r="R73" s="1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81" t="s">
        <v>351</v>
      </c>
      <c r="AF73" s="59" t="s">
        <v>362</v>
      </c>
      <c r="AG73" s="59" t="s">
        <v>363</v>
      </c>
      <c r="AH73" s="59" t="s">
        <v>390</v>
      </c>
      <c r="AI73" s="82" t="s">
        <v>295</v>
      </c>
      <c r="AJ73" s="81" t="s">
        <v>351</v>
      </c>
      <c r="AK73" s="59" t="s">
        <v>362</v>
      </c>
      <c r="AL73" s="59" t="s">
        <v>363</v>
      </c>
      <c r="AM73" s="59" t="s">
        <v>390</v>
      </c>
      <c r="AN73" s="82" t="s">
        <v>295</v>
      </c>
    </row>
    <row r="74" spans="1:46" x14ac:dyDescent="0.4">
      <c r="A74" s="65" t="s">
        <v>5</v>
      </c>
      <c r="B74" s="70">
        <v>4.83</v>
      </c>
      <c r="C74" s="59">
        <v>0.46500000000000002</v>
      </c>
      <c r="D74" s="31">
        <f>C74/C75</f>
        <v>3.2908704883227173E-3</v>
      </c>
      <c r="E74" s="74"/>
      <c r="F74" s="72"/>
      <c r="G74" s="87"/>
      <c r="H74" s="87"/>
      <c r="I74" s="87"/>
      <c r="M74" s="167"/>
      <c r="N74" s="167"/>
      <c r="O74" s="103"/>
      <c r="P74" s="104"/>
      <c r="Q74" s="159"/>
      <c r="R74" s="1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147" t="s">
        <v>352</v>
      </c>
      <c r="AF74" s="101" t="s">
        <v>356</v>
      </c>
      <c r="AG74" s="102">
        <f>0.78/1000*2.86/0.5/44400*1000*1000</f>
        <v>0.10048648648648648</v>
      </c>
      <c r="AH74" s="102">
        <f>E94</f>
        <v>1.5318302387267901</v>
      </c>
      <c r="AI74" s="148">
        <f>AH74/(0.1/1000)/1.5</f>
        <v>10212.201591511934</v>
      </c>
      <c r="AJ74" s="147" t="s">
        <v>352</v>
      </c>
      <c r="AK74" s="101" t="s">
        <v>356</v>
      </c>
      <c r="AL74" s="102">
        <v>0.1</v>
      </c>
      <c r="AM74" s="102">
        <f>P60</f>
        <v>2.2033621140764001</v>
      </c>
      <c r="AN74" s="148">
        <f>AM74/(0.1/1000)/1.5</f>
        <v>14689.080760509334</v>
      </c>
    </row>
    <row r="75" spans="1:46" ht="15" thickBot="1" x14ac:dyDescent="0.45">
      <c r="A75" s="65" t="s">
        <v>4</v>
      </c>
      <c r="B75" s="75">
        <v>6.2119999999999997</v>
      </c>
      <c r="C75" s="76">
        <v>141.30000000000001</v>
      </c>
      <c r="D75" s="76"/>
      <c r="E75" s="77"/>
      <c r="F75" s="100">
        <f>C75/(C73+C74+C75)</f>
        <v>1.8836571743942602E-2</v>
      </c>
      <c r="G75" s="87"/>
      <c r="H75" s="87"/>
      <c r="I75" s="87"/>
      <c r="M75" s="166" t="s">
        <v>311</v>
      </c>
      <c r="N75" s="166" t="s">
        <v>274</v>
      </c>
      <c r="O75" s="101">
        <v>0.5</v>
      </c>
      <c r="P75" s="102">
        <f>E228</f>
        <v>1.6736681926958694</v>
      </c>
      <c r="Q75" s="160">
        <f>(P77-P76)/0.5</f>
        <v>4.8615443954124178</v>
      </c>
      <c r="R75" s="160">
        <f>Q75/(0.1/1000)</f>
        <v>48615.443954124174</v>
      </c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149" t="s">
        <v>353</v>
      </c>
      <c r="AF75" s="103" t="s">
        <v>356</v>
      </c>
      <c r="AG75" s="104">
        <f>0.78/1000*2.86/0.5/44400*1000*1000</f>
        <v>0.10048648648648648</v>
      </c>
      <c r="AH75" s="32">
        <f>E30</f>
        <v>1.5593987999076853</v>
      </c>
      <c r="AI75" s="150">
        <f t="shared" ref="AI75:AI76" si="0">AH75/(0.1/1000)/1.5</f>
        <v>10395.991999384567</v>
      </c>
      <c r="AJ75" s="149" t="s">
        <v>353</v>
      </c>
      <c r="AK75" s="103" t="s">
        <v>356</v>
      </c>
      <c r="AL75" s="104">
        <v>0.1</v>
      </c>
      <c r="AM75" s="32">
        <f>P39</f>
        <v>2.5340274546300603</v>
      </c>
      <c r="AN75" s="150">
        <f t="shared" ref="AN75:AN76" si="1">AM75/(0.1/1000)/1.5</f>
        <v>16893.516364200401</v>
      </c>
    </row>
    <row r="76" spans="1:46" ht="15" thickBot="1" x14ac:dyDescent="0.45">
      <c r="A76" s="1" t="s">
        <v>255</v>
      </c>
      <c r="B76" s="78"/>
      <c r="C76" s="78"/>
      <c r="D76" s="78"/>
      <c r="E76" s="78"/>
      <c r="F76" s="79"/>
      <c r="G76" s="87"/>
      <c r="H76" s="87"/>
      <c r="I76" s="87"/>
      <c r="M76" s="166"/>
      <c r="N76" s="166"/>
      <c r="O76" s="101">
        <v>1</v>
      </c>
      <c r="P76" s="102">
        <f>E233</f>
        <v>3.1104085603112841</v>
      </c>
      <c r="Q76" s="160"/>
      <c r="R76" s="160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151" t="s">
        <v>354</v>
      </c>
      <c r="AF76" s="152" t="s">
        <v>356</v>
      </c>
      <c r="AG76" s="153">
        <f>0.78/1000*2.86/0.5/44400*1000*1000</f>
        <v>0.10048648648648648</v>
      </c>
      <c r="AH76" s="153">
        <f>E158</f>
        <v>1.5316272120004688</v>
      </c>
      <c r="AI76" s="154">
        <f t="shared" si="0"/>
        <v>10210.848080003125</v>
      </c>
      <c r="AJ76" s="151" t="s">
        <v>354</v>
      </c>
      <c r="AK76" s="152" t="s">
        <v>356</v>
      </c>
      <c r="AL76" s="153">
        <v>0.1</v>
      </c>
      <c r="AM76" s="153">
        <f>P18</f>
        <v>2.8839433783463635</v>
      </c>
      <c r="AN76" s="154">
        <f t="shared" si="1"/>
        <v>19226.289188975756</v>
      </c>
    </row>
    <row r="77" spans="1:46" x14ac:dyDescent="0.4">
      <c r="A77" t="s">
        <v>0</v>
      </c>
      <c r="B77" s="66" t="s">
        <v>2</v>
      </c>
      <c r="C77" s="67" t="s">
        <v>1</v>
      </c>
      <c r="D77" s="67" t="s">
        <v>113</v>
      </c>
      <c r="E77" s="11" t="s">
        <v>69</v>
      </c>
      <c r="F77" s="65" t="s">
        <v>180</v>
      </c>
      <c r="G77" s="21"/>
      <c r="H77" s="21"/>
      <c r="I77" s="21"/>
      <c r="M77" s="166"/>
      <c r="N77" s="166"/>
      <c r="O77" s="101">
        <v>1.5</v>
      </c>
      <c r="P77" s="102">
        <f>E238</f>
        <v>5.541180758017493</v>
      </c>
      <c r="Q77" s="160"/>
      <c r="R77" s="160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59"/>
      <c r="AJ77" s="59"/>
      <c r="AK77" s="21"/>
    </row>
    <row r="78" spans="1:46" ht="15" thickBot="1" x14ac:dyDescent="0.45">
      <c r="A78" t="s">
        <v>3</v>
      </c>
      <c r="B78" s="18">
        <v>3.1</v>
      </c>
      <c r="C78" s="59">
        <v>7259.5</v>
      </c>
      <c r="D78" s="8">
        <f>C78/C80</f>
        <v>51.4128895184136</v>
      </c>
      <c r="E78" s="74">
        <f>(D79+0.0045)/0.0056</f>
        <v>1.7976021853500608</v>
      </c>
      <c r="F78" s="97">
        <f>(C79/(C78+C79))</f>
        <v>1.0826019801423801E-4</v>
      </c>
      <c r="G78" s="21"/>
      <c r="H78" s="21"/>
      <c r="I78" s="21"/>
      <c r="M78" s="166"/>
      <c r="N78" s="166"/>
      <c r="O78" s="101"/>
      <c r="P78" s="102"/>
      <c r="Q78" s="160"/>
      <c r="R78" s="160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137" t="s">
        <v>423</v>
      </c>
      <c r="AF78" s="137"/>
      <c r="AG78" s="137"/>
      <c r="AH78" s="137"/>
      <c r="AI78" s="137"/>
      <c r="AJ78" s="137"/>
      <c r="AK78" s="137"/>
      <c r="AL78" s="136"/>
      <c r="AM78" s="136"/>
      <c r="AN78" s="136"/>
    </row>
    <row r="79" spans="1:46" x14ac:dyDescent="0.4">
      <c r="A79" t="s">
        <v>5</v>
      </c>
      <c r="B79" s="18">
        <v>4.83</v>
      </c>
      <c r="C79" s="59">
        <v>0.78600000000000003</v>
      </c>
      <c r="D79" s="32">
        <f>C79/C80</f>
        <v>5.5665722379603403E-3</v>
      </c>
      <c r="E79" s="13"/>
      <c r="F79" s="72"/>
      <c r="G79" s="21"/>
      <c r="H79" s="21"/>
      <c r="I79" s="21"/>
      <c r="M79" s="167" t="s">
        <v>312</v>
      </c>
      <c r="N79" s="167" t="s">
        <v>275</v>
      </c>
      <c r="O79" s="103">
        <v>0.5</v>
      </c>
      <c r="P79" s="104">
        <f>E244</f>
        <v>1.4391421125412192</v>
      </c>
      <c r="Q79" s="159">
        <f>(P81-P80)/0.5</f>
        <v>2.3527121544006864</v>
      </c>
      <c r="R79" s="159">
        <f>Q79/(0.05/1000)</f>
        <v>47054.243088013725</v>
      </c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144" t="s">
        <v>407</v>
      </c>
      <c r="AF79" s="145"/>
      <c r="AG79" s="145"/>
      <c r="AH79" s="145"/>
      <c r="AI79" s="146"/>
      <c r="AJ79" s="155" t="s">
        <v>404</v>
      </c>
      <c r="AK79" s="156"/>
      <c r="AL79" s="156"/>
      <c r="AM79" s="145"/>
      <c r="AN79" s="146"/>
    </row>
    <row r="80" spans="1:46" ht="15" thickBot="1" x14ac:dyDescent="0.45">
      <c r="A80" t="s">
        <v>4</v>
      </c>
      <c r="B80" s="20">
        <v>6.2119999999999997</v>
      </c>
      <c r="C80" s="16">
        <v>141.19999999999999</v>
      </c>
      <c r="D80" s="16"/>
      <c r="E80" s="24"/>
      <c r="F80" s="100">
        <f>C80/(C78+C79+C80)</f>
        <v>1.9077250163007806E-2</v>
      </c>
      <c r="G80" s="21"/>
      <c r="H80" s="21"/>
      <c r="I80" s="21"/>
      <c r="M80" s="167"/>
      <c r="N80" s="167"/>
      <c r="O80" s="103">
        <v>1</v>
      </c>
      <c r="P80" s="104">
        <f>E249</f>
        <v>2.1001432980599648</v>
      </c>
      <c r="Q80" s="159"/>
      <c r="R80" s="159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81" t="s">
        <v>351</v>
      </c>
      <c r="AF80" s="59" t="s">
        <v>362</v>
      </c>
      <c r="AG80" s="59" t="s">
        <v>363</v>
      </c>
      <c r="AH80" s="59" t="s">
        <v>390</v>
      </c>
      <c r="AI80" s="82" t="s">
        <v>295</v>
      </c>
      <c r="AJ80" s="81" t="s">
        <v>351</v>
      </c>
      <c r="AK80" s="59" t="s">
        <v>362</v>
      </c>
      <c r="AL80" s="59" t="s">
        <v>363</v>
      </c>
      <c r="AM80" s="59" t="s">
        <v>390</v>
      </c>
      <c r="AN80" s="82" t="s">
        <v>295</v>
      </c>
      <c r="AP80">
        <f>AN83/AI83</f>
        <v>1.8616910322616989</v>
      </c>
    </row>
    <row r="81" spans="1:42" x14ac:dyDescent="0.4">
      <c r="A81" s="4" t="s">
        <v>186</v>
      </c>
      <c r="B81" s="4"/>
      <c r="C81" s="4"/>
      <c r="D81" s="4"/>
      <c r="E81" s="4"/>
      <c r="F81" s="4"/>
      <c r="G81" s="4"/>
      <c r="H81" s="4"/>
      <c r="I81" s="4"/>
      <c r="M81" s="167"/>
      <c r="N81" s="167"/>
      <c r="O81" s="103">
        <v>1.5</v>
      </c>
      <c r="P81" s="104">
        <f>E254</f>
        <v>3.276499375260308</v>
      </c>
      <c r="Q81" s="159"/>
      <c r="R81" s="159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147" t="s">
        <v>352</v>
      </c>
      <c r="AF81" s="101" t="s">
        <v>356</v>
      </c>
      <c r="AG81" s="102">
        <v>0.2</v>
      </c>
      <c r="AH81" s="102">
        <f>P48</f>
        <v>1.7976021853500608</v>
      </c>
      <c r="AI81" s="148">
        <f>AH81/(0.2/1000)/1.5</f>
        <v>5992.0072845002023</v>
      </c>
      <c r="AJ81" s="147" t="s">
        <v>352</v>
      </c>
      <c r="AK81" s="101" t="s">
        <v>356</v>
      </c>
      <c r="AL81" s="102">
        <v>0.2</v>
      </c>
      <c r="AM81" s="102">
        <f>P56</f>
        <v>2.8833189902467011</v>
      </c>
      <c r="AN81" s="148">
        <f>AM81/(0.2/1000)/1.5</f>
        <v>9611.0633008223358</v>
      </c>
      <c r="AP81">
        <f>AI83/AN83</f>
        <v>0.53714605843330376</v>
      </c>
    </row>
    <row r="82" spans="1:42" ht="15" thickBot="1" x14ac:dyDescent="0.45">
      <c r="A82" s="1" t="s">
        <v>256</v>
      </c>
      <c r="B82" s="1"/>
      <c r="C82" s="1"/>
      <c r="D82" s="1"/>
      <c r="E82" s="1"/>
      <c r="F82" s="1"/>
      <c r="G82" s="60"/>
      <c r="H82" s="60"/>
      <c r="I82" s="60"/>
      <c r="M82" s="167"/>
      <c r="N82" s="167"/>
      <c r="O82" s="103"/>
      <c r="P82" s="104"/>
      <c r="Q82" s="159"/>
      <c r="R82" s="159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149" t="s">
        <v>353</v>
      </c>
      <c r="AF82" s="103" t="s">
        <v>356</v>
      </c>
      <c r="AG82" s="104">
        <v>0.2</v>
      </c>
      <c r="AH82" s="32">
        <f>P27</f>
        <v>1.974413860475807</v>
      </c>
      <c r="AI82" s="150">
        <f>AH82/(0.2/1000)/1.5</f>
        <v>6581.379534919357</v>
      </c>
      <c r="AJ82" s="149" t="s">
        <v>353</v>
      </c>
      <c r="AK82" s="103" t="s">
        <v>356</v>
      </c>
      <c r="AL82" s="104">
        <v>0.2</v>
      </c>
      <c r="AM82" s="32">
        <f>P35</f>
        <v>3.5597510734594406</v>
      </c>
      <c r="AN82" s="150">
        <f>AM82/(0.2/1000)/1.5</f>
        <v>11865.836911531469</v>
      </c>
    </row>
    <row r="83" spans="1:42" ht="15" thickBot="1" x14ac:dyDescent="0.45">
      <c r="A83" s="65" t="s">
        <v>0</v>
      </c>
      <c r="B83" s="66" t="s">
        <v>2</v>
      </c>
      <c r="C83" s="67" t="s">
        <v>1</v>
      </c>
      <c r="D83" s="67" t="s">
        <v>113</v>
      </c>
      <c r="E83" s="11" t="s">
        <v>69</v>
      </c>
      <c r="F83" s="65" t="s">
        <v>180</v>
      </c>
      <c r="G83" s="59"/>
      <c r="H83" s="59"/>
      <c r="I83" s="59"/>
      <c r="M83" s="21"/>
      <c r="N83" s="21"/>
      <c r="O83" s="21"/>
      <c r="P83" s="21"/>
      <c r="Q83" s="11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151" t="s">
        <v>354</v>
      </c>
      <c r="AF83" s="152" t="s">
        <v>356</v>
      </c>
      <c r="AG83" s="153">
        <v>0.2</v>
      </c>
      <c r="AH83" s="153">
        <f>P6</f>
        <v>2.1623297945995845</v>
      </c>
      <c r="AI83" s="154">
        <f>AH83/(0.2/1000)/1.5</f>
        <v>7207.7659819986147</v>
      </c>
      <c r="AJ83" s="151" t="s">
        <v>354</v>
      </c>
      <c r="AK83" s="152" t="s">
        <v>356</v>
      </c>
      <c r="AL83" s="153">
        <v>0.2</v>
      </c>
      <c r="AM83" s="153">
        <f>P14</f>
        <v>4.0255899873983276</v>
      </c>
      <c r="AN83" s="154">
        <f>AM83/(0.2/1000)/1.5</f>
        <v>13418.633291327758</v>
      </c>
    </row>
    <row r="84" spans="1:42" x14ac:dyDescent="0.4">
      <c r="A84" s="65" t="s">
        <v>3</v>
      </c>
      <c r="B84" s="70">
        <v>3.1</v>
      </c>
      <c r="C84" s="71">
        <v>9309.2000000000007</v>
      </c>
      <c r="D84" s="72">
        <f>C84/C86</f>
        <v>53.013667425968116</v>
      </c>
      <c r="E84" s="74">
        <f>(D85+0.0045)/0.0056</f>
        <v>0.80357142857142849</v>
      </c>
      <c r="F84" s="97">
        <f>(C85/(C84+C85))</f>
        <v>0</v>
      </c>
      <c r="G84" s="59"/>
      <c r="H84" s="59"/>
      <c r="I84" s="59"/>
      <c r="M84" s="21"/>
      <c r="N84" s="21"/>
      <c r="O84" s="21"/>
      <c r="P84" s="21"/>
      <c r="Q84" s="11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</row>
    <row r="85" spans="1:42" x14ac:dyDescent="0.4">
      <c r="A85" s="65" t="s">
        <v>5</v>
      </c>
      <c r="B85" s="70">
        <v>4.83</v>
      </c>
      <c r="C85" s="71">
        <v>0</v>
      </c>
      <c r="D85" s="31">
        <f>C85/C86</f>
        <v>0</v>
      </c>
      <c r="E85" s="74"/>
      <c r="F85" s="72"/>
      <c r="G85" s="59"/>
      <c r="H85" s="59"/>
      <c r="I85" s="59"/>
      <c r="M85" s="21"/>
      <c r="N85" s="21"/>
      <c r="O85" s="21"/>
      <c r="P85" s="21"/>
      <c r="Q85" s="11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</row>
    <row r="86" spans="1:42" ht="15" thickBot="1" x14ac:dyDescent="0.45">
      <c r="A86" s="65" t="s">
        <v>4</v>
      </c>
      <c r="B86" s="75">
        <v>6.2119999999999997</v>
      </c>
      <c r="C86" s="76">
        <v>175.6</v>
      </c>
      <c r="D86" s="76"/>
      <c r="E86" s="77"/>
      <c r="F86" s="100">
        <f>C86/(C84+C85+C86)</f>
        <v>1.8513832658569498E-2</v>
      </c>
      <c r="G86" s="59"/>
      <c r="H86" s="59"/>
      <c r="I86" s="59"/>
      <c r="M86" s="105" t="s">
        <v>337</v>
      </c>
      <c r="N86" s="105"/>
      <c r="O86" s="105"/>
      <c r="P86" s="105"/>
      <c r="Q86" s="112"/>
      <c r="R86" s="112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</row>
    <row r="87" spans="1:42" ht="15" thickBot="1" x14ac:dyDescent="0.45">
      <c r="A87" s="1" t="s">
        <v>257</v>
      </c>
      <c r="B87" s="78"/>
      <c r="C87" s="78"/>
      <c r="D87" s="78"/>
      <c r="E87" s="78"/>
      <c r="F87" s="78"/>
      <c r="G87" s="87"/>
      <c r="H87" s="87"/>
      <c r="I87" s="87"/>
      <c r="M87" s="105" t="s">
        <v>187</v>
      </c>
      <c r="N87" s="105" t="s">
        <v>272</v>
      </c>
      <c r="O87" s="105" t="s">
        <v>188</v>
      </c>
      <c r="P87" s="105" t="s">
        <v>208</v>
      </c>
      <c r="Q87" s="112" t="s">
        <v>294</v>
      </c>
      <c r="R87" s="112" t="s">
        <v>295</v>
      </c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</row>
    <row r="88" spans="1:42" x14ac:dyDescent="0.4">
      <c r="A88" s="65" t="s">
        <v>0</v>
      </c>
      <c r="B88" s="66" t="s">
        <v>2</v>
      </c>
      <c r="C88" s="67" t="s">
        <v>1</v>
      </c>
      <c r="D88" s="67" t="s">
        <v>113</v>
      </c>
      <c r="E88" s="11" t="s">
        <v>69</v>
      </c>
      <c r="F88" s="65" t="s">
        <v>180</v>
      </c>
      <c r="G88" s="87"/>
      <c r="H88" s="87"/>
      <c r="I88" s="87"/>
      <c r="M88" s="166" t="s">
        <v>333</v>
      </c>
      <c r="N88" s="166" t="s">
        <v>278</v>
      </c>
      <c r="O88" s="101">
        <v>0.5</v>
      </c>
      <c r="P88" s="102">
        <f>E260</f>
        <v>1.2308125255832993</v>
      </c>
      <c r="Q88" s="160">
        <f>(P90-P89)/0.5</f>
        <v>0.87192847270985885</v>
      </c>
      <c r="R88" s="160">
        <f>Q88/(0.25/1000)</f>
        <v>3487.7138908394354</v>
      </c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</row>
    <row r="89" spans="1:42" x14ac:dyDescent="0.4">
      <c r="A89" s="65" t="s">
        <v>3</v>
      </c>
      <c r="B89" s="70">
        <v>3.14</v>
      </c>
      <c r="C89" s="59">
        <v>7192</v>
      </c>
      <c r="D89" s="72">
        <f>C89/C91</f>
        <v>52.458059810357405</v>
      </c>
      <c r="E89" s="74">
        <f>(D90+0.0045)/0.0056</f>
        <v>1.348012399708242</v>
      </c>
      <c r="F89" s="97">
        <f>(C90/(C89+C90))</f>
        <v>5.8116755728045841E-5</v>
      </c>
      <c r="G89" s="87"/>
      <c r="H89" s="87"/>
      <c r="I89" s="87"/>
      <c r="M89" s="166"/>
      <c r="N89" s="166"/>
      <c r="O89" s="101">
        <v>1</v>
      </c>
      <c r="P89" s="102">
        <f>E265</f>
        <v>1.5869331264390831</v>
      </c>
      <c r="Q89" s="160"/>
      <c r="R89" s="160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</row>
    <row r="90" spans="1:42" x14ac:dyDescent="0.4">
      <c r="A90" s="65" t="s">
        <v>5</v>
      </c>
      <c r="B90" s="70">
        <v>4.83</v>
      </c>
      <c r="C90" s="59">
        <v>0.41799999999999998</v>
      </c>
      <c r="D90" s="31">
        <f>C90/C91</f>
        <v>3.0488694383661559E-3</v>
      </c>
      <c r="E90" s="74"/>
      <c r="F90" s="72"/>
      <c r="G90" s="87"/>
      <c r="H90" s="87"/>
      <c r="I90" s="87"/>
      <c r="M90" s="166"/>
      <c r="N90" s="166"/>
      <c r="O90" s="101">
        <v>1.5</v>
      </c>
      <c r="P90" s="102">
        <f>E270</f>
        <v>2.0228973627940126</v>
      </c>
      <c r="Q90" s="160"/>
      <c r="R90" s="160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</row>
    <row r="91" spans="1:42" ht="15" thickBot="1" x14ac:dyDescent="0.45">
      <c r="A91" s="65" t="s">
        <v>4</v>
      </c>
      <c r="B91" s="75">
        <v>6.2119999999999997</v>
      </c>
      <c r="C91" s="76">
        <v>137.1</v>
      </c>
      <c r="D91" s="76"/>
      <c r="E91" s="77"/>
      <c r="F91" s="100">
        <f>C91/(C89+C90+C91)</f>
        <v>1.8705186343767763E-2</v>
      </c>
      <c r="G91" s="87"/>
      <c r="H91" s="87"/>
      <c r="I91" s="87"/>
      <c r="M91" s="166"/>
      <c r="N91" s="166"/>
      <c r="O91" s="101"/>
      <c r="P91" s="102"/>
      <c r="Q91" s="160"/>
      <c r="R91" s="160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</row>
    <row r="92" spans="1:42" ht="15" thickBot="1" x14ac:dyDescent="0.45">
      <c r="A92" s="1" t="s">
        <v>258</v>
      </c>
      <c r="B92" s="78"/>
      <c r="C92" s="78"/>
      <c r="D92" s="78"/>
      <c r="E92" s="78"/>
      <c r="F92" s="79"/>
      <c r="G92" s="87"/>
      <c r="H92" s="87"/>
      <c r="I92" s="87"/>
      <c r="M92" s="167" t="s">
        <v>334</v>
      </c>
      <c r="N92" s="167" t="s">
        <v>273</v>
      </c>
      <c r="O92" s="103">
        <v>0.5</v>
      </c>
      <c r="P92" s="104">
        <f>E276</f>
        <v>1.2651134672619049</v>
      </c>
      <c r="Q92" s="159">
        <f>(P94-P93)/0.5</f>
        <v>0.59351276742581005</v>
      </c>
      <c r="R92" s="159">
        <f>Q92/(0.1/1000)</f>
        <v>5935.1276742581003</v>
      </c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</row>
    <row r="93" spans="1:42" x14ac:dyDescent="0.4">
      <c r="A93" t="s">
        <v>0</v>
      </c>
      <c r="B93" s="66" t="s">
        <v>2</v>
      </c>
      <c r="C93" s="67" t="s">
        <v>1</v>
      </c>
      <c r="D93" s="67" t="s">
        <v>113</v>
      </c>
      <c r="E93" s="11" t="s">
        <v>69</v>
      </c>
      <c r="F93" s="65" t="s">
        <v>180</v>
      </c>
      <c r="G93" s="21"/>
      <c r="H93" s="21"/>
      <c r="I93" s="21"/>
      <c r="M93" s="167"/>
      <c r="N93" s="167"/>
      <c r="O93" s="103">
        <v>1</v>
      </c>
      <c r="P93" s="104">
        <f>E281</f>
        <v>1.48479763574434</v>
      </c>
      <c r="Q93" s="159"/>
      <c r="R93" s="1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</row>
    <row r="94" spans="1:42" x14ac:dyDescent="0.4">
      <c r="A94" t="s">
        <v>3</v>
      </c>
      <c r="B94" s="18">
        <v>3.1</v>
      </c>
      <c r="C94" s="59">
        <v>7856.1</v>
      </c>
      <c r="D94" s="8">
        <f>C94/C96</f>
        <v>52.096153846153847</v>
      </c>
      <c r="E94" s="74">
        <f>(D95+0.0045)/0.0056</f>
        <v>1.5318302387267901</v>
      </c>
      <c r="F94" s="97">
        <f>(C95/(C94+C95))</f>
        <v>7.8276989810626956E-5</v>
      </c>
      <c r="G94" s="21"/>
      <c r="H94" s="21"/>
      <c r="I94" s="21"/>
      <c r="M94" s="167"/>
      <c r="N94" s="167"/>
      <c r="O94" s="103">
        <v>1.5</v>
      </c>
      <c r="P94" s="104">
        <f>E286</f>
        <v>1.781554019457245</v>
      </c>
      <c r="Q94" s="159"/>
      <c r="R94" s="1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</row>
    <row r="95" spans="1:42" x14ac:dyDescent="0.4">
      <c r="A95" t="s">
        <v>5</v>
      </c>
      <c r="B95" s="18">
        <v>4.83</v>
      </c>
      <c r="C95" s="59">
        <v>0.61499999999999999</v>
      </c>
      <c r="D95" s="32">
        <f>C95/C96</f>
        <v>4.0782493368700257E-3</v>
      </c>
      <c r="E95" s="13"/>
      <c r="F95" s="72"/>
      <c r="G95" s="21"/>
      <c r="H95" s="21"/>
      <c r="I95" s="21"/>
      <c r="M95" s="167"/>
      <c r="N95" s="167"/>
      <c r="O95" s="103"/>
      <c r="P95" s="104"/>
      <c r="Q95" s="159"/>
      <c r="R95" s="1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</row>
    <row r="96" spans="1:42" ht="15" thickBot="1" x14ac:dyDescent="0.45">
      <c r="A96" t="s">
        <v>4</v>
      </c>
      <c r="B96" s="20">
        <v>6.2119999999999997</v>
      </c>
      <c r="C96" s="16">
        <v>150.80000000000001</v>
      </c>
      <c r="D96" s="16"/>
      <c r="E96" s="24"/>
      <c r="F96" s="100">
        <f>C96/(C94+C95+C96)</f>
        <v>1.8832309399357979E-2</v>
      </c>
      <c r="G96" s="21"/>
      <c r="H96" s="21"/>
      <c r="I96" s="21"/>
      <c r="M96" s="166" t="s">
        <v>335</v>
      </c>
      <c r="N96" s="166" t="s">
        <v>274</v>
      </c>
      <c r="O96" s="101">
        <v>0.5</v>
      </c>
      <c r="P96" s="102">
        <f>E292</f>
        <v>1.8914729568957629</v>
      </c>
      <c r="Q96" s="160">
        <f>(P98-P97)/0.5</f>
        <v>3.0628529596318765</v>
      </c>
      <c r="R96" s="160">
        <f>Q96/(0.1/1000)</f>
        <v>30628.529596318764</v>
      </c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</row>
    <row r="97" spans="1:29" x14ac:dyDescent="0.4">
      <c r="A97" s="4" t="s">
        <v>186</v>
      </c>
      <c r="B97" s="4"/>
      <c r="C97" s="4"/>
      <c r="D97" s="4"/>
      <c r="E97" s="4"/>
      <c r="F97" s="4"/>
      <c r="G97" s="4"/>
      <c r="H97" s="4"/>
      <c r="I97" s="4"/>
      <c r="M97" s="166"/>
      <c r="N97" s="166"/>
      <c r="O97" s="101">
        <v>1</v>
      </c>
      <c r="P97" s="102">
        <f>E297</f>
        <v>2.4507163773269189</v>
      </c>
      <c r="Q97" s="160"/>
      <c r="R97" s="160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</row>
    <row r="98" spans="1:29" ht="15" thickBot="1" x14ac:dyDescent="0.45">
      <c r="A98" s="1" t="s">
        <v>259</v>
      </c>
      <c r="B98" s="1"/>
      <c r="C98" s="1"/>
      <c r="D98" s="1"/>
      <c r="E98" s="1"/>
      <c r="F98" s="1"/>
      <c r="G98" s="60"/>
      <c r="H98" s="60"/>
      <c r="I98" s="60"/>
      <c r="M98" s="166"/>
      <c r="N98" s="166"/>
      <c r="O98" s="101">
        <v>1.5</v>
      </c>
      <c r="P98" s="102">
        <f>E302</f>
        <v>3.9821428571428572</v>
      </c>
      <c r="Q98" s="160"/>
      <c r="R98" s="160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</row>
    <row r="99" spans="1:29" x14ac:dyDescent="0.4">
      <c r="A99" s="65" t="s">
        <v>0</v>
      </c>
      <c r="B99" s="66" t="s">
        <v>2</v>
      </c>
      <c r="C99" s="67" t="s">
        <v>1</v>
      </c>
      <c r="D99" s="67" t="s">
        <v>113</v>
      </c>
      <c r="E99" s="11" t="s">
        <v>69</v>
      </c>
      <c r="F99" s="65" t="s">
        <v>180</v>
      </c>
      <c r="G99" s="59"/>
      <c r="H99" s="59"/>
      <c r="I99" s="59"/>
      <c r="M99" s="166"/>
      <c r="N99" s="166"/>
      <c r="O99" s="101"/>
      <c r="P99" s="102"/>
      <c r="Q99" s="160"/>
      <c r="R99" s="160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</row>
    <row r="100" spans="1:29" x14ac:dyDescent="0.4">
      <c r="A100" s="65" t="s">
        <v>3</v>
      </c>
      <c r="B100" s="70">
        <v>3.1</v>
      </c>
      <c r="C100" s="71">
        <v>8216.2999999999993</v>
      </c>
      <c r="D100" s="72">
        <f>C100/C102</f>
        <v>52.56749840051183</v>
      </c>
      <c r="E100" s="74">
        <f>(D101+0.0045)/0.0056</f>
        <v>1.3862421168083356</v>
      </c>
      <c r="F100" s="97">
        <f>(C101/(C100+C101))</f>
        <v>6.2067882791496954E-5</v>
      </c>
      <c r="G100" s="59"/>
      <c r="H100" s="59"/>
      <c r="I100" s="59"/>
      <c r="M100" s="167" t="s">
        <v>336</v>
      </c>
      <c r="N100" s="167" t="s">
        <v>275</v>
      </c>
      <c r="O100" s="103">
        <v>0.5</v>
      </c>
      <c r="P100" s="104">
        <f>E308</f>
        <v>1.6090279681930353</v>
      </c>
      <c r="Q100" s="159">
        <f>(P102-P101)/0.5</f>
        <v>1.5083415955451267</v>
      </c>
      <c r="R100" s="159">
        <f>Q100/(0.05/1000)</f>
        <v>30166.831910902532</v>
      </c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</row>
    <row r="101" spans="1:29" x14ac:dyDescent="0.4">
      <c r="A101" s="65" t="s">
        <v>5</v>
      </c>
      <c r="B101" s="70">
        <v>4.83</v>
      </c>
      <c r="C101" s="71">
        <v>0.51</v>
      </c>
      <c r="D101" s="31">
        <f>C101/C102</f>
        <v>3.2629558541266792E-3</v>
      </c>
      <c r="E101" s="74"/>
      <c r="F101" s="72"/>
      <c r="G101" s="59"/>
      <c r="H101" s="59"/>
      <c r="I101" s="59"/>
      <c r="M101" s="167"/>
      <c r="N101" s="167"/>
      <c r="O101" s="103">
        <v>1</v>
      </c>
      <c r="P101" s="104">
        <f>E313</f>
        <v>1.925350478823181</v>
      </c>
      <c r="Q101" s="159"/>
      <c r="R101" s="159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</row>
    <row r="102" spans="1:29" ht="15" thickBot="1" x14ac:dyDescent="0.45">
      <c r="A102" s="65" t="s">
        <v>4</v>
      </c>
      <c r="B102" s="75">
        <v>6.2119999999999997</v>
      </c>
      <c r="C102" s="76">
        <v>156.30000000000001</v>
      </c>
      <c r="D102" s="76"/>
      <c r="E102" s="77"/>
      <c r="F102" s="100">
        <f>C102/(C100+C101+C102)</f>
        <v>1.866689915694408E-2</v>
      </c>
      <c r="G102" s="59"/>
      <c r="H102" s="59"/>
      <c r="I102" s="59"/>
      <c r="M102" s="167"/>
      <c r="N102" s="167"/>
      <c r="O102" s="103">
        <v>1.5</v>
      </c>
      <c r="P102" s="104">
        <f>E318</f>
        <v>2.6795212765957444</v>
      </c>
      <c r="Q102" s="159"/>
      <c r="R102" s="159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</row>
    <row r="103" spans="1:29" ht="15" thickBot="1" x14ac:dyDescent="0.45">
      <c r="A103" s="1" t="s">
        <v>260</v>
      </c>
      <c r="B103" s="78"/>
      <c r="C103" s="78"/>
      <c r="D103" s="78"/>
      <c r="E103" s="78"/>
      <c r="F103" s="78"/>
      <c r="G103" s="87"/>
      <c r="H103" s="87"/>
      <c r="I103" s="87"/>
      <c r="M103" s="167"/>
      <c r="N103" s="167"/>
      <c r="O103" s="103"/>
      <c r="P103" s="104"/>
      <c r="Q103" s="159"/>
      <c r="R103" s="159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</row>
    <row r="104" spans="1:29" x14ac:dyDescent="0.4">
      <c r="A104" s="65" t="s">
        <v>0</v>
      </c>
      <c r="B104" s="66" t="s">
        <v>2</v>
      </c>
      <c r="C104" s="67" t="s">
        <v>1</v>
      </c>
      <c r="D104" s="67" t="s">
        <v>113</v>
      </c>
      <c r="E104" s="11" t="s">
        <v>69</v>
      </c>
      <c r="F104" s="65" t="s">
        <v>180</v>
      </c>
      <c r="G104" s="87"/>
      <c r="H104" s="87"/>
      <c r="I104" s="87"/>
      <c r="M104" s="21"/>
      <c r="N104" s="21"/>
      <c r="O104" s="21"/>
      <c r="P104" s="21"/>
      <c r="Q104" s="11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</row>
    <row r="105" spans="1:29" x14ac:dyDescent="0.4">
      <c r="A105" s="65" t="s">
        <v>3</v>
      </c>
      <c r="B105" s="70">
        <v>3.14</v>
      </c>
      <c r="C105" s="59">
        <v>8156.8</v>
      </c>
      <c r="D105" s="72">
        <f>C105/C107</f>
        <v>52.354300385109113</v>
      </c>
      <c r="E105" s="74">
        <f>(D106+0.0045)/0.0056</f>
        <v>2.0299605721621123</v>
      </c>
      <c r="F105" s="97">
        <f>(C106/(C105+C106))</f>
        <v>1.3116168803866697E-4</v>
      </c>
      <c r="G105" s="87"/>
      <c r="H105" s="87"/>
      <c r="I105" s="87"/>
    </row>
    <row r="106" spans="1:29" x14ac:dyDescent="0.4">
      <c r="A106" s="65" t="s">
        <v>5</v>
      </c>
      <c r="B106" s="70">
        <v>4.83</v>
      </c>
      <c r="C106" s="59">
        <v>1.07</v>
      </c>
      <c r="D106" s="31">
        <f>C106/C107</f>
        <v>6.8677792041078305E-3</v>
      </c>
      <c r="E106" s="74"/>
      <c r="F106" s="72"/>
      <c r="G106" s="87"/>
      <c r="H106" s="87"/>
      <c r="I106" s="87"/>
      <c r="M106" s="105" t="s">
        <v>371</v>
      </c>
      <c r="N106" s="105"/>
      <c r="O106" s="105"/>
      <c r="P106" s="105"/>
      <c r="Q106" s="112"/>
      <c r="R106" s="112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</row>
    <row r="107" spans="1:29" ht="15" thickBot="1" x14ac:dyDescent="0.45">
      <c r="A107" s="65" t="s">
        <v>4</v>
      </c>
      <c r="B107" s="75">
        <v>6.2119999999999997</v>
      </c>
      <c r="C107" s="76">
        <v>155.80000000000001</v>
      </c>
      <c r="D107" s="76"/>
      <c r="E107" s="77"/>
      <c r="F107" s="100">
        <f>C107/(C105+C106+C107)</f>
        <v>1.8740219421747556E-2</v>
      </c>
      <c r="G107" s="87"/>
      <c r="H107" s="87"/>
      <c r="I107" s="87"/>
      <c r="M107" s="105" t="s">
        <v>187</v>
      </c>
      <c r="N107" s="105" t="s">
        <v>272</v>
      </c>
      <c r="O107" s="105" t="s">
        <v>188</v>
      </c>
      <c r="P107" s="105" t="s">
        <v>208</v>
      </c>
      <c r="Q107" s="112" t="s">
        <v>294</v>
      </c>
      <c r="R107" s="112" t="s">
        <v>295</v>
      </c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</row>
    <row r="108" spans="1:29" ht="15" thickBot="1" x14ac:dyDescent="0.45">
      <c r="A108" s="1" t="s">
        <v>261</v>
      </c>
      <c r="B108" s="78"/>
      <c r="C108" s="78"/>
      <c r="D108" s="78"/>
      <c r="E108" s="78"/>
      <c r="F108" s="79"/>
      <c r="G108" s="87"/>
      <c r="H108" s="87"/>
      <c r="I108" s="87"/>
      <c r="M108" s="166" t="s">
        <v>338</v>
      </c>
      <c r="N108" s="166" t="s">
        <v>278</v>
      </c>
      <c r="O108" s="101">
        <v>0.5</v>
      </c>
      <c r="P108" s="102">
        <f>E324</f>
        <v>1.4730533525594811</v>
      </c>
      <c r="Q108" s="160">
        <f>(P110-P109)/0.5</f>
        <v>1.5126521156862287</v>
      </c>
      <c r="R108" s="160">
        <f>Q108/(0.25/1000)</f>
        <v>6050.6084627449145</v>
      </c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</row>
    <row r="109" spans="1:29" x14ac:dyDescent="0.4">
      <c r="A109" t="s">
        <v>0</v>
      </c>
      <c r="B109" s="66" t="s">
        <v>2</v>
      </c>
      <c r="C109" s="67" t="s">
        <v>1</v>
      </c>
      <c r="D109" s="67" t="s">
        <v>113</v>
      </c>
      <c r="E109" s="11" t="s">
        <v>69</v>
      </c>
      <c r="F109" s="65" t="s">
        <v>180</v>
      </c>
      <c r="G109" s="21"/>
      <c r="H109" s="21"/>
      <c r="I109" s="21"/>
      <c r="M109" s="166"/>
      <c r="N109" s="166"/>
      <c r="O109" s="101">
        <v>1</v>
      </c>
      <c r="P109" s="102">
        <f>E329</f>
        <v>1.8243210938994072</v>
      </c>
      <c r="Q109" s="160"/>
      <c r="R109" s="160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</row>
    <row r="110" spans="1:29" x14ac:dyDescent="0.4">
      <c r="A110" t="s">
        <v>3</v>
      </c>
      <c r="B110" s="18">
        <v>3.1</v>
      </c>
      <c r="C110" s="59">
        <v>6516.2</v>
      </c>
      <c r="D110" s="8">
        <f>C110/C112</f>
        <v>52.338955823293169</v>
      </c>
      <c r="E110" s="74">
        <f>(D111+0.0045)/0.0056</f>
        <v>2.8833189902467011</v>
      </c>
      <c r="F110" s="97">
        <f>(C111/(C110+C111))</f>
        <v>2.224728237938521E-4</v>
      </c>
      <c r="G110" s="21"/>
      <c r="H110" s="21"/>
      <c r="I110" s="21"/>
      <c r="M110" s="166"/>
      <c r="N110" s="166"/>
      <c r="O110" s="101">
        <v>1.5</v>
      </c>
      <c r="P110" s="102">
        <f>E334</f>
        <v>2.5806471517425216</v>
      </c>
      <c r="Q110" s="160"/>
      <c r="R110" s="160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</row>
    <row r="111" spans="1:29" x14ac:dyDescent="0.4">
      <c r="A111" t="s">
        <v>5</v>
      </c>
      <c r="B111" s="18">
        <v>4.83</v>
      </c>
      <c r="C111" s="59">
        <v>1.45</v>
      </c>
      <c r="D111" s="32">
        <f>C111/C112</f>
        <v>1.1646586345381526E-2</v>
      </c>
      <c r="E111" s="13"/>
      <c r="F111" s="72"/>
      <c r="G111" s="21"/>
      <c r="H111" s="21"/>
      <c r="I111" s="21"/>
      <c r="M111" s="166"/>
      <c r="N111" s="166"/>
      <c r="O111" s="101"/>
      <c r="P111" s="102"/>
      <c r="Q111" s="160"/>
      <c r="R111" s="160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59"/>
    </row>
    <row r="112" spans="1:29" ht="15" thickBot="1" x14ac:dyDescent="0.45">
      <c r="A112" t="s">
        <v>4</v>
      </c>
      <c r="B112" s="20">
        <v>6.2119999999999997</v>
      </c>
      <c r="C112" s="16">
        <v>124.5</v>
      </c>
      <c r="D112" s="16"/>
      <c r="E112" s="24"/>
      <c r="F112" s="100">
        <f>C112/(C110+C111+C112)</f>
        <v>1.8743930805537365E-2</v>
      </c>
      <c r="G112" s="21"/>
      <c r="H112" s="21"/>
      <c r="I112" s="21"/>
      <c r="M112" s="167" t="s">
        <v>339</v>
      </c>
      <c r="N112" s="167" t="s">
        <v>273</v>
      </c>
      <c r="O112" s="103">
        <v>0.5</v>
      </c>
      <c r="P112" s="104">
        <f>E340</f>
        <v>1.3385322483423749</v>
      </c>
      <c r="Q112" s="159">
        <f>(P114-P113)/0.5</f>
        <v>0.58123319493324255</v>
      </c>
      <c r="R112" s="159">
        <f>Q112/(0.1/1000)</f>
        <v>5812.3319493324252</v>
      </c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59"/>
    </row>
    <row r="113" spans="1:29" x14ac:dyDescent="0.4">
      <c r="A113" s="4" t="s">
        <v>186</v>
      </c>
      <c r="B113" s="4"/>
      <c r="C113" s="4"/>
      <c r="D113" s="4"/>
      <c r="E113" s="4"/>
      <c r="F113" s="4"/>
      <c r="G113" s="4"/>
      <c r="H113" s="4"/>
      <c r="I113" s="4"/>
      <c r="M113" s="167"/>
      <c r="N113" s="167"/>
      <c r="O113" s="103">
        <v>1</v>
      </c>
      <c r="P113" s="104">
        <f>E345</f>
        <v>1.6370555505292677</v>
      </c>
      <c r="Q113" s="159"/>
      <c r="R113" s="1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59"/>
    </row>
    <row r="114" spans="1:29" ht="15" thickBot="1" x14ac:dyDescent="0.45">
      <c r="A114" s="1" t="s">
        <v>262</v>
      </c>
      <c r="B114" s="1"/>
      <c r="C114" s="1"/>
      <c r="D114" s="1"/>
      <c r="E114" s="1"/>
      <c r="F114" s="1"/>
      <c r="G114" s="60"/>
      <c r="H114" s="60"/>
      <c r="I114" s="60"/>
      <c r="M114" s="167"/>
      <c r="N114" s="167"/>
      <c r="O114" s="103">
        <v>1.5</v>
      </c>
      <c r="P114" s="104">
        <f>E350</f>
        <v>1.9276721479958889</v>
      </c>
      <c r="Q114" s="159"/>
      <c r="R114" s="1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59"/>
    </row>
    <row r="115" spans="1:29" x14ac:dyDescent="0.4">
      <c r="A115" s="65" t="s">
        <v>0</v>
      </c>
      <c r="B115" s="66" t="s">
        <v>2</v>
      </c>
      <c r="C115" s="67" t="s">
        <v>1</v>
      </c>
      <c r="D115" s="67" t="s">
        <v>113</v>
      </c>
      <c r="E115" s="11" t="s">
        <v>69</v>
      </c>
      <c r="F115" s="65" t="s">
        <v>180</v>
      </c>
      <c r="G115" s="59"/>
      <c r="H115" s="59"/>
      <c r="I115" s="59"/>
      <c r="M115" s="167"/>
      <c r="N115" s="167"/>
      <c r="O115" s="103"/>
      <c r="P115" s="104"/>
      <c r="Q115" s="159"/>
      <c r="R115" s="1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</row>
    <row r="116" spans="1:29" x14ac:dyDescent="0.4">
      <c r="A116" s="65" t="s">
        <v>3</v>
      </c>
      <c r="B116" s="70">
        <v>3.1</v>
      </c>
      <c r="C116" s="71">
        <v>7453.6</v>
      </c>
      <c r="D116" s="72">
        <f>C116/C118</f>
        <v>52.675618374558304</v>
      </c>
      <c r="E116" s="74">
        <f>(D117+0.0045)/0.0056</f>
        <v>1.2995330641090359</v>
      </c>
      <c r="F116" s="97">
        <f>(C117/(C116+C117))</f>
        <v>5.272341951488283E-5</v>
      </c>
      <c r="G116" s="59"/>
      <c r="H116" s="59"/>
      <c r="I116" s="59"/>
      <c r="M116" s="166" t="s">
        <v>340</v>
      </c>
      <c r="N116" s="166" t="s">
        <v>274</v>
      </c>
      <c r="O116" s="101">
        <v>0.5</v>
      </c>
      <c r="P116" s="102">
        <f>E356</f>
        <v>2.6353927823746384</v>
      </c>
      <c r="Q116" s="160">
        <f>(P118-P117)/0.5</f>
        <v>4.5045001027143066</v>
      </c>
      <c r="R116" s="160">
        <f>Q116/(0.1/1000)</f>
        <v>45045.001027143066</v>
      </c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59"/>
    </row>
    <row r="117" spans="1:29" x14ac:dyDescent="0.4">
      <c r="A117" s="65" t="s">
        <v>5</v>
      </c>
      <c r="B117" s="70">
        <v>4.83</v>
      </c>
      <c r="C117" s="71">
        <v>0.39300000000000002</v>
      </c>
      <c r="D117" s="31">
        <f>C117/C118</f>
        <v>2.777385159010601E-3</v>
      </c>
      <c r="E117" s="74"/>
      <c r="F117" s="72"/>
      <c r="G117" s="59"/>
      <c r="H117" s="59"/>
      <c r="I117" s="59"/>
      <c r="M117" s="166"/>
      <c r="N117" s="166"/>
      <c r="O117" s="101">
        <v>1</v>
      </c>
      <c r="P117" s="102">
        <f>E361</f>
        <v>4.0666236374067699</v>
      </c>
      <c r="Q117" s="160"/>
      <c r="R117" s="160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</row>
    <row r="118" spans="1:29" ht="15" thickBot="1" x14ac:dyDescent="0.45">
      <c r="A118" s="65" t="s">
        <v>4</v>
      </c>
      <c r="B118" s="75">
        <v>6.2119999999999997</v>
      </c>
      <c r="C118" s="76">
        <v>141.5</v>
      </c>
      <c r="D118" s="76"/>
      <c r="E118" s="77"/>
      <c r="F118" s="100">
        <f>C118/(C116+C117+C118)</f>
        <v>1.8629468817889766E-2</v>
      </c>
      <c r="G118" s="59"/>
      <c r="H118" s="59"/>
      <c r="I118" s="59"/>
      <c r="M118" s="166"/>
      <c r="N118" s="166"/>
      <c r="O118" s="101">
        <v>1.5</v>
      </c>
      <c r="P118" s="102">
        <f>E366</f>
        <v>6.3188736887639232</v>
      </c>
      <c r="Q118" s="160"/>
      <c r="R118" s="160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</row>
    <row r="119" spans="1:29" ht="15" thickBot="1" x14ac:dyDescent="0.45">
      <c r="A119" s="1" t="s">
        <v>263</v>
      </c>
      <c r="B119" s="78"/>
      <c r="C119" s="78"/>
      <c r="D119" s="78"/>
      <c r="E119" s="78"/>
      <c r="F119" s="78"/>
      <c r="G119" s="87"/>
      <c r="H119" s="87"/>
      <c r="I119" s="87"/>
      <c r="M119" s="166"/>
      <c r="N119" s="166"/>
      <c r="O119" s="101"/>
      <c r="P119" s="102"/>
      <c r="Q119" s="160"/>
      <c r="R119" s="160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</row>
    <row r="120" spans="1:29" x14ac:dyDescent="0.4">
      <c r="A120" s="65" t="s">
        <v>0</v>
      </c>
      <c r="B120" s="66" t="s">
        <v>2</v>
      </c>
      <c r="C120" s="67" t="s">
        <v>1</v>
      </c>
      <c r="D120" s="67" t="s">
        <v>113</v>
      </c>
      <c r="E120" s="11" t="s">
        <v>69</v>
      </c>
      <c r="F120" s="65" t="s">
        <v>180</v>
      </c>
      <c r="G120" s="87"/>
      <c r="H120" s="87"/>
      <c r="I120" s="87"/>
      <c r="M120" s="167" t="s">
        <v>341</v>
      </c>
      <c r="N120" s="167" t="s">
        <v>275</v>
      </c>
      <c r="O120" s="103">
        <v>0.5</v>
      </c>
      <c r="P120" s="104">
        <f>E372</f>
        <v>1.8724522883083197</v>
      </c>
      <c r="Q120" s="159">
        <f>(P122-P121)/0.5</f>
        <v>2.6494106087707072</v>
      </c>
      <c r="R120" s="159">
        <f>Q120/(0.05/1000)</f>
        <v>52988.212175414141</v>
      </c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</row>
    <row r="121" spans="1:29" x14ac:dyDescent="0.4">
      <c r="A121" s="65" t="s">
        <v>3</v>
      </c>
      <c r="B121" s="70">
        <v>3.14</v>
      </c>
      <c r="C121" s="59">
        <v>7345.8</v>
      </c>
      <c r="D121" s="72">
        <f>C121/C123</f>
        <v>52.283274021352312</v>
      </c>
      <c r="E121" s="74">
        <f>(D122+0.0045)/0.0056</f>
        <v>1.6614768683274022</v>
      </c>
      <c r="F121" s="97">
        <f>(C122/(C121+C122))</f>
        <v>9.188079997549845E-5</v>
      </c>
      <c r="G121" s="87"/>
      <c r="H121" s="87"/>
      <c r="I121" s="87"/>
      <c r="M121" s="167"/>
      <c r="N121" s="167"/>
      <c r="O121" s="103">
        <v>1</v>
      </c>
      <c r="P121" s="104">
        <f>E377</f>
        <v>2.7605185909980432</v>
      </c>
      <c r="Q121" s="159"/>
      <c r="R121" s="159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</row>
    <row r="122" spans="1:29" x14ac:dyDescent="0.4">
      <c r="A122" s="65" t="s">
        <v>5</v>
      </c>
      <c r="B122" s="70">
        <v>4.83</v>
      </c>
      <c r="C122" s="59">
        <v>0.67500000000000004</v>
      </c>
      <c r="D122" s="31">
        <f>C122/C123</f>
        <v>4.8042704626334526E-3</v>
      </c>
      <c r="E122" s="74"/>
      <c r="F122" s="72"/>
      <c r="G122" s="87"/>
      <c r="H122" s="87"/>
      <c r="I122" s="87"/>
      <c r="M122" s="167"/>
      <c r="N122" s="167"/>
      <c r="O122" s="103">
        <v>1.5</v>
      </c>
      <c r="P122" s="104">
        <f>E382</f>
        <v>4.0852238953833968</v>
      </c>
      <c r="Q122" s="159"/>
      <c r="R122" s="159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</row>
    <row r="123" spans="1:29" ht="15" thickBot="1" x14ac:dyDescent="0.45">
      <c r="A123" s="65" t="s">
        <v>4</v>
      </c>
      <c r="B123" s="75">
        <v>6.2119999999999997</v>
      </c>
      <c r="C123" s="76">
        <v>140.5</v>
      </c>
      <c r="D123" s="76"/>
      <c r="E123" s="77"/>
      <c r="F123" s="100">
        <f>C123/(C121+C122+C123)</f>
        <v>1.8765923487122634E-2</v>
      </c>
      <c r="G123" s="87"/>
      <c r="H123" s="87"/>
      <c r="I123" s="87"/>
      <c r="M123" s="167"/>
      <c r="N123" s="167"/>
      <c r="O123" s="103"/>
      <c r="P123" s="104"/>
      <c r="Q123" s="159"/>
      <c r="R123" s="159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</row>
    <row r="124" spans="1:29" ht="15" thickBot="1" x14ac:dyDescent="0.45">
      <c r="A124" s="1" t="s">
        <v>264</v>
      </c>
      <c r="B124" s="78"/>
      <c r="C124" s="78"/>
      <c r="D124" s="78"/>
      <c r="E124" s="78"/>
      <c r="F124" s="79"/>
      <c r="G124" s="87"/>
      <c r="H124" s="87"/>
      <c r="I124" s="87"/>
      <c r="M124" s="21"/>
      <c r="N124" s="21"/>
      <c r="O124" s="21"/>
      <c r="P124" s="21"/>
      <c r="Q124" s="11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</row>
    <row r="125" spans="1:29" x14ac:dyDescent="0.4">
      <c r="A125" t="s">
        <v>0</v>
      </c>
      <c r="B125" s="66" t="s">
        <v>2</v>
      </c>
      <c r="C125" s="67" t="s">
        <v>1</v>
      </c>
      <c r="D125" s="67" t="s">
        <v>113</v>
      </c>
      <c r="E125" s="11" t="s">
        <v>69</v>
      </c>
      <c r="F125" s="65" t="s">
        <v>180</v>
      </c>
      <c r="G125" s="21"/>
      <c r="H125" s="21"/>
      <c r="I125" s="21"/>
    </row>
    <row r="126" spans="1:29" x14ac:dyDescent="0.4">
      <c r="A126" t="s">
        <v>3</v>
      </c>
      <c r="B126" s="18">
        <v>3.1</v>
      </c>
      <c r="C126" s="59">
        <v>7146.3</v>
      </c>
      <c r="D126" s="8">
        <f>C126/C128</f>
        <v>52.353846153846156</v>
      </c>
      <c r="E126" s="74">
        <f>(D127+0.0045)/0.0056</f>
        <v>2.2033621140764001</v>
      </c>
      <c r="F126" s="97">
        <f>(C127/(C126+C127))</f>
        <v>1.4970541611809661E-4</v>
      </c>
      <c r="G126" s="21"/>
      <c r="H126" s="21"/>
      <c r="I126" s="21"/>
    </row>
    <row r="127" spans="1:29" x14ac:dyDescent="0.4">
      <c r="A127" t="s">
        <v>5</v>
      </c>
      <c r="B127" s="18">
        <v>4.83</v>
      </c>
      <c r="C127" s="59">
        <v>1.07</v>
      </c>
      <c r="D127" s="32">
        <f>C127/C128</f>
        <v>7.8388278388278401E-3</v>
      </c>
      <c r="E127" s="13"/>
      <c r="F127" s="72"/>
      <c r="G127" s="21"/>
      <c r="H127" s="21"/>
      <c r="I127" s="21"/>
    </row>
    <row r="128" spans="1:29" ht="15" thickBot="1" x14ac:dyDescent="0.45">
      <c r="A128" t="s">
        <v>4</v>
      </c>
      <c r="B128" s="20">
        <v>6.2119999999999997</v>
      </c>
      <c r="C128" s="16">
        <v>136.5</v>
      </c>
      <c r="D128" s="16"/>
      <c r="E128" s="24"/>
      <c r="F128" s="100">
        <f>C128/(C126+C127+C128)</f>
        <v>1.8740037919402736E-2</v>
      </c>
      <c r="G128" s="21"/>
      <c r="H128" s="21"/>
      <c r="I128" s="21"/>
    </row>
    <row r="129" spans="1:9" x14ac:dyDescent="0.4">
      <c r="A129" s="4" t="s">
        <v>186</v>
      </c>
      <c r="B129" s="4"/>
      <c r="C129" s="4"/>
      <c r="D129" s="4"/>
      <c r="E129" s="4"/>
      <c r="F129" s="4"/>
      <c r="G129" s="4"/>
      <c r="H129" s="4"/>
      <c r="I129" s="4"/>
    </row>
    <row r="130" spans="1:9" ht="15" thickBot="1" x14ac:dyDescent="0.45">
      <c r="A130" s="1" t="s">
        <v>282</v>
      </c>
      <c r="B130" s="1"/>
      <c r="C130" s="1"/>
      <c r="D130" s="1"/>
      <c r="E130" s="1"/>
      <c r="F130" s="1"/>
      <c r="G130" s="60"/>
      <c r="H130" s="60"/>
      <c r="I130" s="60"/>
    </row>
    <row r="131" spans="1:9" x14ac:dyDescent="0.4">
      <c r="A131" s="65" t="s">
        <v>0</v>
      </c>
      <c r="B131" s="66" t="s">
        <v>2</v>
      </c>
      <c r="C131" s="67" t="s">
        <v>1</v>
      </c>
      <c r="D131" s="67" t="s">
        <v>113</v>
      </c>
      <c r="E131" s="11" t="s">
        <v>69</v>
      </c>
      <c r="F131" s="65" t="s">
        <v>180</v>
      </c>
      <c r="G131" s="59"/>
      <c r="H131" s="59"/>
      <c r="I131" s="59"/>
    </row>
    <row r="132" spans="1:9" x14ac:dyDescent="0.4">
      <c r="A132" s="65" t="s">
        <v>3</v>
      </c>
      <c r="B132" s="70">
        <v>3.1</v>
      </c>
      <c r="C132" s="71">
        <v>6503.4</v>
      </c>
      <c r="D132" s="72">
        <f>C132/C134</f>
        <v>53.658415841584151</v>
      </c>
      <c r="E132" s="74">
        <f>(D133+0.0045)/0.0056</f>
        <v>1.3059877416313059</v>
      </c>
      <c r="F132" s="97">
        <f>(C133/(C132+C133))</f>
        <v>5.2431362196003814E-5</v>
      </c>
      <c r="G132" s="59"/>
      <c r="H132" s="59"/>
      <c r="I132" s="59"/>
    </row>
    <row r="133" spans="1:9" x14ac:dyDescent="0.4">
      <c r="A133" s="65" t="s">
        <v>5</v>
      </c>
      <c r="B133" s="70">
        <v>4.83</v>
      </c>
      <c r="C133" s="71">
        <v>0.34100000000000003</v>
      </c>
      <c r="D133" s="31">
        <f>C133/C134</f>
        <v>2.8135313531353137E-3</v>
      </c>
      <c r="E133" s="74"/>
      <c r="F133" s="72"/>
      <c r="G133" s="59"/>
      <c r="H133" s="59"/>
      <c r="I133" s="59"/>
    </row>
    <row r="134" spans="1:9" ht="15" thickBot="1" x14ac:dyDescent="0.45">
      <c r="A134" s="65" t="s">
        <v>4</v>
      </c>
      <c r="B134" s="75">
        <v>6.2119999999999997</v>
      </c>
      <c r="C134" s="76">
        <v>121.2</v>
      </c>
      <c r="D134" s="76"/>
      <c r="E134" s="77"/>
      <c r="F134" s="100">
        <f>C134/(C132+C133+C134)</f>
        <v>1.8294502547267968E-2</v>
      </c>
      <c r="G134" s="59"/>
      <c r="H134" s="59"/>
      <c r="I134" s="59"/>
    </row>
    <row r="135" spans="1:9" ht="15" thickBot="1" x14ac:dyDescent="0.45">
      <c r="A135" s="1" t="s">
        <v>283</v>
      </c>
      <c r="B135" s="78"/>
      <c r="C135" s="78"/>
      <c r="D135" s="78"/>
      <c r="E135" s="78"/>
      <c r="F135" s="78"/>
      <c r="G135" s="87"/>
      <c r="H135" s="87"/>
      <c r="I135" s="87"/>
    </row>
    <row r="136" spans="1:9" x14ac:dyDescent="0.4">
      <c r="A136" s="65" t="s">
        <v>0</v>
      </c>
      <c r="B136" s="66" t="s">
        <v>2</v>
      </c>
      <c r="C136" s="67" t="s">
        <v>1</v>
      </c>
      <c r="D136" s="67" t="s">
        <v>113</v>
      </c>
      <c r="E136" s="11" t="s">
        <v>69</v>
      </c>
      <c r="F136" s="65" t="s">
        <v>180</v>
      </c>
      <c r="G136" s="87"/>
      <c r="H136" s="87"/>
      <c r="I136" s="87"/>
    </row>
    <row r="137" spans="1:9" x14ac:dyDescent="0.4">
      <c r="A137" s="65" t="s">
        <v>3</v>
      </c>
      <c r="B137" s="70">
        <v>3.14</v>
      </c>
      <c r="C137" s="59">
        <v>6636.4</v>
      </c>
      <c r="D137" s="72">
        <f>C137/C139</f>
        <v>53.176282051282051</v>
      </c>
      <c r="E137" s="74">
        <f>(D138+0.0045)/0.0056</f>
        <v>1.484661172161172</v>
      </c>
      <c r="F137" s="97">
        <f>(C138/(C137+C138))</f>
        <v>7.1720490182429204E-5</v>
      </c>
      <c r="G137" s="87"/>
      <c r="H137" s="87"/>
      <c r="I137" s="87"/>
    </row>
    <row r="138" spans="1:9" x14ac:dyDescent="0.4">
      <c r="A138" s="65" t="s">
        <v>5</v>
      </c>
      <c r="B138" s="70">
        <v>4.83</v>
      </c>
      <c r="C138" s="59">
        <v>0.47599999999999998</v>
      </c>
      <c r="D138" s="31">
        <f>C138/C139</f>
        <v>3.8141025641025639E-3</v>
      </c>
      <c r="E138" s="74"/>
      <c r="F138" s="72"/>
      <c r="G138" s="87"/>
      <c r="H138" s="87"/>
      <c r="I138" s="87"/>
    </row>
    <row r="139" spans="1:9" ht="15" thickBot="1" x14ac:dyDescent="0.45">
      <c r="A139" s="65" t="s">
        <v>4</v>
      </c>
      <c r="B139" s="75">
        <v>6.2119999999999997</v>
      </c>
      <c r="C139" s="76">
        <v>124.8</v>
      </c>
      <c r="D139" s="76"/>
      <c r="E139" s="77"/>
      <c r="F139" s="100">
        <f>C139/(C137+C138+C139)</f>
        <v>1.845696244540555E-2</v>
      </c>
      <c r="G139" s="87"/>
      <c r="H139" s="87"/>
      <c r="I139" s="87"/>
    </row>
    <row r="140" spans="1:9" ht="15" thickBot="1" x14ac:dyDescent="0.45">
      <c r="A140" s="1" t="s">
        <v>284</v>
      </c>
      <c r="B140" s="78"/>
      <c r="C140" s="78"/>
      <c r="D140" s="78"/>
      <c r="E140" s="78"/>
      <c r="F140" s="79"/>
      <c r="G140" s="87"/>
      <c r="H140" s="87"/>
      <c r="I140" s="87"/>
    </row>
    <row r="141" spans="1:9" x14ac:dyDescent="0.4">
      <c r="A141" t="s">
        <v>0</v>
      </c>
      <c r="B141" s="66" t="s">
        <v>2</v>
      </c>
      <c r="C141" s="67" t="s">
        <v>1</v>
      </c>
      <c r="D141" s="67" t="s">
        <v>113</v>
      </c>
      <c r="E141" s="11" t="s">
        <v>69</v>
      </c>
      <c r="F141" s="65" t="s">
        <v>180</v>
      </c>
      <c r="G141" s="21"/>
      <c r="H141" s="21"/>
      <c r="I141" s="21"/>
    </row>
    <row r="142" spans="1:9" x14ac:dyDescent="0.4">
      <c r="A142" t="s">
        <v>3</v>
      </c>
      <c r="B142" s="18">
        <v>3.1</v>
      </c>
      <c r="C142" s="59">
        <v>6531.9</v>
      </c>
      <c r="D142" s="8">
        <f>C142/C144</f>
        <v>52.761712439418417</v>
      </c>
      <c r="E142" s="74">
        <f>(D143+0.0045)/0.0056</f>
        <v>2.1623297945995845</v>
      </c>
      <c r="F142" s="97">
        <f>(C143/(C142+C143))</f>
        <v>1.4419451748565174E-4</v>
      </c>
      <c r="G142" s="21"/>
      <c r="H142" s="21"/>
      <c r="I142" s="21"/>
    </row>
    <row r="143" spans="1:9" x14ac:dyDescent="0.4">
      <c r="A143" t="s">
        <v>5</v>
      </c>
      <c r="B143" s="18">
        <v>4.83</v>
      </c>
      <c r="C143" s="59">
        <v>0.94199999999999995</v>
      </c>
      <c r="D143" s="32">
        <f>C143/C144</f>
        <v>7.6090468497576735E-3</v>
      </c>
      <c r="E143" s="13"/>
      <c r="F143" s="72"/>
      <c r="G143" s="21"/>
      <c r="H143" s="21"/>
      <c r="I143" s="21"/>
    </row>
    <row r="144" spans="1:9" ht="15" thickBot="1" x14ac:dyDescent="0.45">
      <c r="A144" t="s">
        <v>4</v>
      </c>
      <c r="B144" s="20">
        <v>6.2119999999999997</v>
      </c>
      <c r="C144" s="16">
        <v>123.8</v>
      </c>
      <c r="D144" s="16"/>
      <c r="E144" s="24"/>
      <c r="F144" s="100">
        <f>C144/(C142+C143+C144)</f>
        <v>1.8597965761114988E-2</v>
      </c>
      <c r="G144" s="21"/>
      <c r="H144" s="21"/>
      <c r="I144" s="21"/>
    </row>
    <row r="145" spans="1:9" x14ac:dyDescent="0.4">
      <c r="A145" s="4" t="s">
        <v>186</v>
      </c>
      <c r="B145" s="4"/>
      <c r="C145" s="4"/>
      <c r="D145" s="4"/>
      <c r="E145" s="4"/>
      <c r="F145" s="4"/>
      <c r="G145" s="4"/>
      <c r="H145" s="4"/>
      <c r="I145" s="4"/>
    </row>
    <row r="146" spans="1:9" ht="15" thickBot="1" x14ac:dyDescent="0.45">
      <c r="A146" s="1" t="s">
        <v>285</v>
      </c>
      <c r="B146" s="1"/>
      <c r="C146" s="1"/>
      <c r="D146" s="1"/>
      <c r="E146" s="1"/>
      <c r="F146" s="1"/>
      <c r="G146" s="60"/>
      <c r="H146" s="60"/>
      <c r="I146" s="60"/>
    </row>
    <row r="147" spans="1:9" x14ac:dyDescent="0.4">
      <c r="A147" s="65" t="s">
        <v>0</v>
      </c>
      <c r="B147" s="66" t="s">
        <v>2</v>
      </c>
      <c r="C147" s="67" t="s">
        <v>1</v>
      </c>
      <c r="D147" s="67" t="s">
        <v>113</v>
      </c>
      <c r="E147" s="11" t="s">
        <v>69</v>
      </c>
      <c r="F147" s="65" t="s">
        <v>180</v>
      </c>
      <c r="G147" s="59"/>
      <c r="H147" s="59"/>
      <c r="I147" s="59"/>
    </row>
    <row r="148" spans="1:9" x14ac:dyDescent="0.4">
      <c r="A148" s="65" t="s">
        <v>3</v>
      </c>
      <c r="B148" s="70">
        <v>3.1</v>
      </c>
      <c r="C148" s="71">
        <v>6595.3</v>
      </c>
      <c r="D148" s="72">
        <f>C148/C150</f>
        <v>53.31689571544058</v>
      </c>
      <c r="E148" s="74">
        <f>(D149+0.0045)/0.0056</f>
        <v>0.80357142857142849</v>
      </c>
      <c r="F148" s="97">
        <f>(C149/(C148+C149))</f>
        <v>0</v>
      </c>
      <c r="G148" s="59"/>
      <c r="H148" s="59"/>
      <c r="I148" s="59"/>
    </row>
    <row r="149" spans="1:9" x14ac:dyDescent="0.4">
      <c r="A149" s="65" t="s">
        <v>5</v>
      </c>
      <c r="B149" s="70">
        <v>4.83</v>
      </c>
      <c r="C149" s="71">
        <v>0</v>
      </c>
      <c r="D149" s="31">
        <f>C149/C150</f>
        <v>0</v>
      </c>
      <c r="E149" s="74"/>
      <c r="F149" s="72"/>
      <c r="G149" s="59"/>
      <c r="H149" s="59"/>
      <c r="I149" s="59"/>
    </row>
    <row r="150" spans="1:9" ht="15" thickBot="1" x14ac:dyDescent="0.45">
      <c r="A150" s="65" t="s">
        <v>4</v>
      </c>
      <c r="B150" s="75">
        <v>6.2119999999999997</v>
      </c>
      <c r="C150" s="76">
        <v>123.7</v>
      </c>
      <c r="D150" s="76"/>
      <c r="E150" s="77"/>
      <c r="F150" s="100">
        <f>C150/(C148+C149+C150)</f>
        <v>1.841047774966513E-2</v>
      </c>
      <c r="G150" s="59"/>
      <c r="H150" s="59"/>
      <c r="I150" s="59"/>
    </row>
    <row r="151" spans="1:9" ht="15" thickBot="1" x14ac:dyDescent="0.45">
      <c r="A151" s="1" t="s">
        <v>286</v>
      </c>
      <c r="B151" s="78"/>
      <c r="C151" s="78"/>
      <c r="D151" s="78"/>
      <c r="E151" s="78"/>
      <c r="F151" s="78"/>
      <c r="G151" s="87"/>
      <c r="H151" s="87"/>
      <c r="I151" s="87"/>
    </row>
    <row r="152" spans="1:9" x14ac:dyDescent="0.4">
      <c r="A152" s="65" t="s">
        <v>0</v>
      </c>
      <c r="B152" s="66" t="s">
        <v>2</v>
      </c>
      <c r="C152" s="67" t="s">
        <v>1</v>
      </c>
      <c r="D152" s="67" t="s">
        <v>113</v>
      </c>
      <c r="E152" s="11" t="s">
        <v>69</v>
      </c>
      <c r="F152" s="65" t="s">
        <v>180</v>
      </c>
      <c r="G152" s="87"/>
      <c r="H152" s="87"/>
      <c r="I152" s="87"/>
    </row>
    <row r="153" spans="1:9" x14ac:dyDescent="0.4">
      <c r="A153" s="65" t="s">
        <v>3</v>
      </c>
      <c r="B153" s="70">
        <v>3.14</v>
      </c>
      <c r="C153" s="59">
        <v>6626.8</v>
      </c>
      <c r="D153" s="72">
        <f>C153/C155</f>
        <v>53.141940657578189</v>
      </c>
      <c r="E153" s="74">
        <f>(D154+0.0045)/0.0056</f>
        <v>1.2861582082712797</v>
      </c>
      <c r="F153" s="97">
        <f>(C154/(C153+C154))</f>
        <v>5.0851521554481215E-5</v>
      </c>
      <c r="G153" s="87"/>
      <c r="H153" s="87"/>
      <c r="I153" s="87"/>
    </row>
    <row r="154" spans="1:9" x14ac:dyDescent="0.4">
      <c r="A154" s="65" t="s">
        <v>5</v>
      </c>
      <c r="B154" s="70">
        <v>4.83</v>
      </c>
      <c r="C154" s="59">
        <v>0.33700000000000002</v>
      </c>
      <c r="D154" s="31">
        <f>C154/C155</f>
        <v>2.7024859663191663E-3</v>
      </c>
      <c r="E154" s="74"/>
      <c r="F154" s="72"/>
      <c r="G154" s="87"/>
      <c r="H154" s="87"/>
      <c r="I154" s="87"/>
    </row>
    <row r="155" spans="1:9" ht="15" thickBot="1" x14ac:dyDescent="0.45">
      <c r="A155" s="65" t="s">
        <v>4</v>
      </c>
      <c r="B155" s="75">
        <v>6.2119999999999997</v>
      </c>
      <c r="C155" s="76">
        <v>124.7</v>
      </c>
      <c r="D155" s="76"/>
      <c r="E155" s="77"/>
      <c r="F155" s="100">
        <f>C155/(C153+C154+C155)</f>
        <v>1.8469047756928966E-2</v>
      </c>
      <c r="G155" s="87"/>
      <c r="H155" s="87"/>
      <c r="I155" s="87"/>
    </row>
    <row r="156" spans="1:9" ht="15" thickBot="1" x14ac:dyDescent="0.45">
      <c r="A156" s="1" t="s">
        <v>287</v>
      </c>
      <c r="B156" s="78"/>
      <c r="C156" s="78"/>
      <c r="D156" s="78"/>
      <c r="E156" s="78"/>
      <c r="F156" s="79"/>
      <c r="G156" s="87"/>
      <c r="H156" s="87"/>
      <c r="I156" s="87"/>
    </row>
    <row r="157" spans="1:9" x14ac:dyDescent="0.4">
      <c r="A157" t="s">
        <v>0</v>
      </c>
      <c r="B157" s="66" t="s">
        <v>2</v>
      </c>
      <c r="C157" s="67" t="s">
        <v>1</v>
      </c>
      <c r="D157" s="67" t="s">
        <v>113</v>
      </c>
      <c r="E157" s="11" t="s">
        <v>69</v>
      </c>
      <c r="F157" s="65" t="s">
        <v>180</v>
      </c>
      <c r="G157" s="21"/>
      <c r="H157" s="21"/>
      <c r="I157" s="21"/>
    </row>
    <row r="158" spans="1:9" x14ac:dyDescent="0.4">
      <c r="A158" t="s">
        <v>3</v>
      </c>
      <c r="B158" s="18">
        <v>3.1</v>
      </c>
      <c r="C158" s="59">
        <v>6451.4</v>
      </c>
      <c r="D158" s="8">
        <f>C158/C160</f>
        <v>52.923707957342081</v>
      </c>
      <c r="E158" s="74">
        <f>(D159+0.0045)/0.0056</f>
        <v>1.5316272120004688</v>
      </c>
      <c r="F158" s="97">
        <f>(C159/(C158+C159))</f>
        <v>7.7031607913145551E-5</v>
      </c>
      <c r="G158" s="21"/>
      <c r="H158" s="21"/>
      <c r="I158" s="21"/>
    </row>
    <row r="159" spans="1:9" x14ac:dyDescent="0.4">
      <c r="A159" t="s">
        <v>5</v>
      </c>
      <c r="B159" s="18">
        <v>4.83</v>
      </c>
      <c r="C159" s="59">
        <v>0.497</v>
      </c>
      <c r="D159" s="32">
        <f>C159/C160</f>
        <v>4.0771123872026249E-3</v>
      </c>
      <c r="E159" s="13"/>
      <c r="F159" s="72"/>
      <c r="G159" s="21"/>
      <c r="H159" s="21"/>
      <c r="I159" s="21"/>
    </row>
    <row r="160" spans="1:9" ht="15" thickBot="1" x14ac:dyDescent="0.45">
      <c r="A160" t="s">
        <v>4</v>
      </c>
      <c r="B160" s="20">
        <v>6.2119999999999997</v>
      </c>
      <c r="C160" s="16">
        <v>121.9</v>
      </c>
      <c r="D160" s="16"/>
      <c r="E160" s="24"/>
      <c r="F160" s="100">
        <f>C160/(C158+C159+C160)</f>
        <v>1.8543316746775115E-2</v>
      </c>
      <c r="G160" s="21"/>
      <c r="H160" s="21"/>
      <c r="I160" s="21"/>
    </row>
    <row r="161" spans="1:9" x14ac:dyDescent="0.4">
      <c r="A161" s="4" t="s">
        <v>186</v>
      </c>
      <c r="B161" s="4"/>
      <c r="C161" s="4"/>
      <c r="D161" s="4"/>
      <c r="E161" s="4"/>
      <c r="F161" s="4"/>
      <c r="G161" s="4"/>
      <c r="H161" s="4"/>
      <c r="I161" s="4"/>
    </row>
    <row r="162" spans="1:9" ht="15" thickBot="1" x14ac:dyDescent="0.45">
      <c r="A162" s="1" t="s">
        <v>288</v>
      </c>
      <c r="B162" s="1"/>
      <c r="C162" s="1"/>
      <c r="D162" s="1"/>
      <c r="E162" s="1"/>
      <c r="F162" s="1"/>
      <c r="G162" s="60"/>
      <c r="H162" s="60"/>
      <c r="I162" s="60"/>
    </row>
    <row r="163" spans="1:9" x14ac:dyDescent="0.4">
      <c r="A163" s="65" t="s">
        <v>0</v>
      </c>
      <c r="B163" s="66" t="s">
        <v>2</v>
      </c>
      <c r="C163" s="67" t="s">
        <v>1</v>
      </c>
      <c r="D163" s="67" t="s">
        <v>113</v>
      </c>
      <c r="E163" s="11" t="s">
        <v>69</v>
      </c>
      <c r="F163" s="65" t="s">
        <v>180</v>
      </c>
      <c r="G163" s="59"/>
      <c r="H163" s="59"/>
      <c r="I163" s="59"/>
    </row>
    <row r="164" spans="1:9" x14ac:dyDescent="0.4">
      <c r="A164" s="65" t="s">
        <v>3</v>
      </c>
      <c r="B164" s="70">
        <v>3.1</v>
      </c>
      <c r="C164" s="71">
        <v>6508.4</v>
      </c>
      <c r="D164" s="72">
        <f>C164/C166</f>
        <v>53.655399835119539</v>
      </c>
      <c r="E164" s="74">
        <f>(D165+0.0045)/0.0056</f>
        <v>1.4704540101283712</v>
      </c>
      <c r="F164" s="97">
        <f>(C165/(C164+C165))</f>
        <v>6.9597515875685016E-5</v>
      </c>
      <c r="G164" s="59"/>
      <c r="H164" s="59"/>
      <c r="I164" s="59"/>
    </row>
    <row r="165" spans="1:9" x14ac:dyDescent="0.4">
      <c r="A165" s="65" t="s">
        <v>5</v>
      </c>
      <c r="B165" s="70">
        <v>4.83</v>
      </c>
      <c r="C165">
        <v>0.45300000000000001</v>
      </c>
      <c r="D165" s="31">
        <f>C165/C166</f>
        <v>3.7345424567188788E-3</v>
      </c>
      <c r="E165" s="74"/>
      <c r="F165" s="72"/>
      <c r="G165" s="59"/>
      <c r="H165" s="59"/>
      <c r="I165" s="59"/>
    </row>
    <row r="166" spans="1:9" ht="15" thickBot="1" x14ac:dyDescent="0.45">
      <c r="A166" s="65" t="s">
        <v>4</v>
      </c>
      <c r="B166" s="75">
        <v>6.2119999999999997</v>
      </c>
      <c r="C166" s="76">
        <v>121.3</v>
      </c>
      <c r="D166" s="76"/>
      <c r="E166" s="77"/>
      <c r="F166" s="100">
        <f>C166/(C164+C165+C166)</f>
        <v>1.829520374567525E-2</v>
      </c>
      <c r="G166" s="59"/>
      <c r="H166" s="59"/>
      <c r="I166" s="59"/>
    </row>
    <row r="167" spans="1:9" ht="15" thickBot="1" x14ac:dyDescent="0.45">
      <c r="A167" s="1" t="s">
        <v>289</v>
      </c>
      <c r="B167" s="78"/>
      <c r="C167" s="78"/>
      <c r="D167" s="78"/>
      <c r="E167" s="78"/>
      <c r="F167" s="78"/>
      <c r="G167" s="87"/>
      <c r="H167" s="87"/>
      <c r="I167" s="87"/>
    </row>
    <row r="168" spans="1:9" x14ac:dyDescent="0.4">
      <c r="A168" s="65" t="s">
        <v>0</v>
      </c>
      <c r="B168" s="66" t="s">
        <v>2</v>
      </c>
      <c r="C168" s="67" t="s">
        <v>1</v>
      </c>
      <c r="D168" s="67" t="s">
        <v>113</v>
      </c>
      <c r="E168" s="11" t="s">
        <v>69</v>
      </c>
      <c r="F168" s="65" t="s">
        <v>180</v>
      </c>
      <c r="G168" s="87"/>
      <c r="H168" s="87"/>
      <c r="I168" s="87"/>
    </row>
    <row r="169" spans="1:9" x14ac:dyDescent="0.4">
      <c r="A169" s="65" t="s">
        <v>3</v>
      </c>
      <c r="B169" s="70">
        <v>3.14</v>
      </c>
      <c r="C169" s="59">
        <v>6717.4</v>
      </c>
      <c r="D169" s="72">
        <f>C169/C171</f>
        <v>52.976340694006311</v>
      </c>
      <c r="E169" s="74">
        <f>(D170+0.0045)/0.0056</f>
        <v>2.282278053177107</v>
      </c>
      <c r="F169" s="97">
        <f>(C170/(C169+C170))</f>
        <v>1.5628604812121844E-4</v>
      </c>
      <c r="G169" s="87"/>
      <c r="H169" s="87"/>
      <c r="I169" s="87"/>
    </row>
    <row r="170" spans="1:9" x14ac:dyDescent="0.4">
      <c r="A170" s="65" t="s">
        <v>5</v>
      </c>
      <c r="B170" s="70">
        <v>4.83</v>
      </c>
      <c r="C170" s="59">
        <v>1.05</v>
      </c>
      <c r="D170" s="31">
        <f>C170/C171</f>
        <v>8.2807570977917987E-3</v>
      </c>
      <c r="E170" s="74"/>
      <c r="F170" s="72"/>
      <c r="G170" s="87"/>
      <c r="H170" s="87"/>
      <c r="I170" s="87"/>
    </row>
    <row r="171" spans="1:9" ht="15" thickBot="1" x14ac:dyDescent="0.45">
      <c r="A171" s="65" t="s">
        <v>4</v>
      </c>
      <c r="B171" s="75">
        <v>6.2119999999999997</v>
      </c>
      <c r="C171" s="76">
        <v>126.8</v>
      </c>
      <c r="D171" s="76"/>
      <c r="E171" s="77"/>
      <c r="F171" s="100">
        <f>C171/(C169+C170+C171)</f>
        <v>1.8523793871662832E-2</v>
      </c>
      <c r="G171" s="87"/>
      <c r="H171" s="87"/>
      <c r="I171" s="87"/>
    </row>
    <row r="172" spans="1:9" ht="15" thickBot="1" x14ac:dyDescent="0.45">
      <c r="A172" s="1" t="s">
        <v>290</v>
      </c>
      <c r="B172" s="78"/>
      <c r="C172" s="78"/>
      <c r="D172" s="78"/>
      <c r="E172" s="78"/>
      <c r="F172" s="79"/>
      <c r="G172" s="87"/>
      <c r="H172" s="87"/>
      <c r="I172" s="87"/>
    </row>
    <row r="173" spans="1:9" x14ac:dyDescent="0.4">
      <c r="A173" t="s">
        <v>0</v>
      </c>
      <c r="B173" s="66" t="s">
        <v>2</v>
      </c>
      <c r="C173" s="67" t="s">
        <v>1</v>
      </c>
      <c r="D173" s="67" t="s">
        <v>113</v>
      </c>
      <c r="E173" s="11" t="s">
        <v>69</v>
      </c>
      <c r="F173" s="65" t="s">
        <v>180</v>
      </c>
      <c r="G173" s="21"/>
      <c r="H173" s="21"/>
      <c r="I173" s="21"/>
    </row>
    <row r="174" spans="1:9" x14ac:dyDescent="0.4">
      <c r="A174" t="s">
        <v>3</v>
      </c>
      <c r="B174" s="18">
        <v>3.1</v>
      </c>
      <c r="C174" s="59">
        <v>6560</v>
      </c>
      <c r="D174" s="8">
        <f>C174/C176</f>
        <v>52.606255012028868</v>
      </c>
      <c r="E174" s="74">
        <f>(D175+0.0045)/0.0056</f>
        <v>4.0255899873983276</v>
      </c>
      <c r="F174" s="97">
        <f>(C175/(C174+C175))</f>
        <v>3.4287020457922205E-4</v>
      </c>
      <c r="G174" s="21"/>
      <c r="H174" s="21"/>
      <c r="I174" s="21"/>
    </row>
    <row r="175" spans="1:9" x14ac:dyDescent="0.4">
      <c r="A175" t="s">
        <v>5</v>
      </c>
      <c r="B175" s="18">
        <v>4.83</v>
      </c>
      <c r="C175" s="59">
        <v>2.25</v>
      </c>
      <c r="D175" s="32">
        <f>C175/C176</f>
        <v>1.8043303929430633E-2</v>
      </c>
      <c r="E175" s="13"/>
      <c r="F175" s="72"/>
      <c r="G175" s="21"/>
      <c r="H175" s="21"/>
      <c r="I175" s="21"/>
    </row>
    <row r="176" spans="1:9" ht="15" thickBot="1" x14ac:dyDescent="0.45">
      <c r="A176" t="s">
        <v>4</v>
      </c>
      <c r="B176" s="20">
        <v>6.2119999999999997</v>
      </c>
      <c r="C176" s="16">
        <v>124.7</v>
      </c>
      <c r="D176" s="16"/>
      <c r="E176" s="24"/>
      <c r="F176" s="100">
        <f>C176/(C174+C175+C176)</f>
        <v>1.8648262660854353E-2</v>
      </c>
      <c r="G176" s="21"/>
      <c r="H176" s="21"/>
      <c r="I176" s="21"/>
    </row>
    <row r="177" spans="1:9" x14ac:dyDescent="0.4">
      <c r="A177" s="4" t="s">
        <v>186</v>
      </c>
      <c r="B177" s="4"/>
      <c r="C177" s="4"/>
      <c r="D177" s="4"/>
      <c r="E177" s="4"/>
      <c r="F177" s="4"/>
      <c r="G177" s="4"/>
      <c r="H177" s="4"/>
      <c r="I177" s="4"/>
    </row>
    <row r="178" spans="1:9" ht="15" thickBot="1" x14ac:dyDescent="0.45">
      <c r="A178" s="1" t="s">
        <v>291</v>
      </c>
      <c r="B178" s="1"/>
      <c r="C178" s="1"/>
      <c r="D178" s="1"/>
      <c r="E178" s="1"/>
      <c r="F178" s="1"/>
      <c r="G178" s="60"/>
      <c r="H178" s="60"/>
      <c r="I178" s="60"/>
    </row>
    <row r="179" spans="1:9" x14ac:dyDescent="0.4">
      <c r="A179" s="65" t="s">
        <v>0</v>
      </c>
      <c r="B179" s="66" t="s">
        <v>2</v>
      </c>
      <c r="C179" s="67" t="s">
        <v>1</v>
      </c>
      <c r="D179" s="67" t="s">
        <v>113</v>
      </c>
      <c r="E179" s="11" t="s">
        <v>69</v>
      </c>
      <c r="F179" s="65" t="s">
        <v>180</v>
      </c>
      <c r="G179" s="59"/>
      <c r="H179" s="59"/>
      <c r="I179" s="59"/>
    </row>
    <row r="180" spans="1:9" x14ac:dyDescent="0.4">
      <c r="A180" s="65" t="s">
        <v>3</v>
      </c>
      <c r="B180" s="70">
        <v>3.1</v>
      </c>
      <c r="C180" s="71">
        <v>6759.7</v>
      </c>
      <c r="D180" s="72">
        <f>C180/C182</f>
        <v>53.478639240506325</v>
      </c>
      <c r="E180" s="74">
        <f>(D181+0.0045)/0.0056</f>
        <v>1.3941003616636527</v>
      </c>
      <c r="F180" s="97">
        <f>(C181/(C180+C181))</f>
        <v>6.1833240189002614E-5</v>
      </c>
      <c r="G180" s="59"/>
      <c r="H180" s="59"/>
      <c r="I180" s="59"/>
    </row>
    <row r="181" spans="1:9" x14ac:dyDescent="0.4">
      <c r="A181" s="65" t="s">
        <v>5</v>
      </c>
      <c r="B181" s="70">
        <v>4.83</v>
      </c>
      <c r="C181" s="71">
        <v>0.41799999999999998</v>
      </c>
      <c r="D181" s="31">
        <f>C181/C182</f>
        <v>3.3069620253164556E-3</v>
      </c>
      <c r="E181" s="74"/>
      <c r="F181" s="72"/>
      <c r="G181" s="59"/>
      <c r="H181" s="59"/>
      <c r="I181" s="59"/>
    </row>
    <row r="182" spans="1:9" ht="15" thickBot="1" x14ac:dyDescent="0.45">
      <c r="A182" s="65" t="s">
        <v>4</v>
      </c>
      <c r="B182" s="75">
        <v>6.2119999999999997</v>
      </c>
      <c r="C182" s="76">
        <v>126.4</v>
      </c>
      <c r="D182" s="76"/>
      <c r="E182" s="77"/>
      <c r="F182" s="100">
        <f>C182/(C180+C181+C182)</f>
        <v>1.835470407541228E-2</v>
      </c>
      <c r="G182" s="59"/>
      <c r="H182" s="59"/>
      <c r="I182" s="59"/>
    </row>
    <row r="183" spans="1:9" ht="15" thickBot="1" x14ac:dyDescent="0.45">
      <c r="A183" s="1" t="s">
        <v>292</v>
      </c>
      <c r="B183" s="78"/>
      <c r="C183" s="78"/>
      <c r="D183" s="78"/>
      <c r="E183" s="78"/>
      <c r="F183" s="78"/>
      <c r="G183" s="87"/>
      <c r="H183" s="87"/>
      <c r="I183" s="87"/>
    </row>
    <row r="184" spans="1:9" x14ac:dyDescent="0.4">
      <c r="A184" s="65" t="s">
        <v>0</v>
      </c>
      <c r="B184" s="66" t="s">
        <v>2</v>
      </c>
      <c r="C184" s="67" t="s">
        <v>1</v>
      </c>
      <c r="D184" s="67" t="s">
        <v>113</v>
      </c>
      <c r="E184" s="11" t="s">
        <v>69</v>
      </c>
      <c r="F184" s="65" t="s">
        <v>180</v>
      </c>
      <c r="G184" s="87"/>
      <c r="H184" s="87"/>
      <c r="I184" s="87"/>
    </row>
    <row r="185" spans="1:9" x14ac:dyDescent="0.4">
      <c r="A185" s="65" t="s">
        <v>3</v>
      </c>
      <c r="B185" s="70">
        <v>3.14</v>
      </c>
      <c r="C185" s="59">
        <v>6591.7</v>
      </c>
      <c r="D185" s="72">
        <f>C185/C187</f>
        <v>52.987942122186489</v>
      </c>
      <c r="E185" s="74">
        <f>(D186+0.0045)/0.0056</f>
        <v>2.0079237482774461</v>
      </c>
      <c r="F185" s="97">
        <f>(C186/(C185+C186))</f>
        <v>1.272650795088205E-4</v>
      </c>
      <c r="G185" s="87"/>
      <c r="H185" s="87"/>
      <c r="I185" s="87"/>
    </row>
    <row r="186" spans="1:9" x14ac:dyDescent="0.4">
      <c r="A186" s="65" t="s">
        <v>5</v>
      </c>
      <c r="B186" s="70">
        <v>4.83</v>
      </c>
      <c r="C186" s="59">
        <v>0.83899999999999997</v>
      </c>
      <c r="D186" s="31">
        <f>C186/C187</f>
        <v>6.7443729903536968E-3</v>
      </c>
      <c r="E186" s="74"/>
      <c r="F186" s="72"/>
      <c r="G186" s="87"/>
      <c r="H186" s="87"/>
      <c r="I186" s="87"/>
    </row>
    <row r="187" spans="1:9" ht="15" thickBot="1" x14ac:dyDescent="0.45">
      <c r="A187" s="65" t="s">
        <v>4</v>
      </c>
      <c r="B187" s="75">
        <v>6.2119999999999997</v>
      </c>
      <c r="C187" s="76">
        <v>124.4</v>
      </c>
      <c r="D187" s="76"/>
      <c r="E187" s="77"/>
      <c r="F187" s="100">
        <f>C187/(C185+C186+C187)</f>
        <v>1.8520340887419107E-2</v>
      </c>
      <c r="G187" s="87"/>
      <c r="H187" s="87"/>
      <c r="I187" s="87"/>
    </row>
    <row r="188" spans="1:9" ht="15" thickBot="1" x14ac:dyDescent="0.45">
      <c r="A188" s="1" t="s">
        <v>293</v>
      </c>
      <c r="B188" s="78"/>
      <c r="C188" s="78"/>
      <c r="D188" s="78"/>
      <c r="E188" s="78"/>
      <c r="F188" s="79"/>
      <c r="G188" s="87"/>
      <c r="H188" s="87"/>
      <c r="I188" s="87"/>
    </row>
    <row r="189" spans="1:9" x14ac:dyDescent="0.4">
      <c r="A189" t="s">
        <v>0</v>
      </c>
      <c r="B189" s="66" t="s">
        <v>2</v>
      </c>
      <c r="C189" s="67" t="s">
        <v>1</v>
      </c>
      <c r="D189" s="67" t="s">
        <v>113</v>
      </c>
      <c r="E189" s="11" t="s">
        <v>69</v>
      </c>
      <c r="F189" s="65" t="s">
        <v>180</v>
      </c>
      <c r="G189" s="21"/>
      <c r="H189" s="21"/>
      <c r="I189" s="21"/>
    </row>
    <row r="190" spans="1:9" x14ac:dyDescent="0.4">
      <c r="A190" t="s">
        <v>3</v>
      </c>
      <c r="B190" s="18">
        <v>3.1</v>
      </c>
      <c r="C190" s="59">
        <v>6371.1</v>
      </c>
      <c r="D190" s="8">
        <f>C190/C192</f>
        <v>52.82835820895523</v>
      </c>
      <c r="E190" s="74">
        <f>(D191+0.0045)/0.0056</f>
        <v>2.8839433783463635</v>
      </c>
      <c r="F190" s="97">
        <f>(C191/(C190+C191))</f>
        <v>2.2047844607418903E-4</v>
      </c>
      <c r="G190" s="21"/>
      <c r="H190" s="21"/>
      <c r="I190" s="21"/>
    </row>
    <row r="191" spans="1:9" x14ac:dyDescent="0.4">
      <c r="A191" t="s">
        <v>5</v>
      </c>
      <c r="B191" s="18">
        <v>4.83</v>
      </c>
      <c r="C191" s="59">
        <v>1.405</v>
      </c>
      <c r="D191" s="32">
        <f>C191/C192</f>
        <v>1.1650082918739636E-2</v>
      </c>
      <c r="E191" s="13"/>
      <c r="F191" s="72"/>
      <c r="G191" s="21"/>
      <c r="H191" s="21"/>
      <c r="I191" s="21"/>
    </row>
    <row r="192" spans="1:9" ht="15" thickBot="1" x14ac:dyDescent="0.45">
      <c r="A192" t="s">
        <v>4</v>
      </c>
      <c r="B192" s="20">
        <v>6.2119999999999997</v>
      </c>
      <c r="C192" s="16">
        <v>120.6</v>
      </c>
      <c r="D192" s="16"/>
      <c r="E192" s="24"/>
      <c r="F192" s="100">
        <f>C192/(C190+C191+C192)</f>
        <v>1.8573548402497725E-2</v>
      </c>
      <c r="G192" s="21"/>
      <c r="H192" s="21"/>
      <c r="I192" s="21"/>
    </row>
    <row r="193" spans="1:9" x14ac:dyDescent="0.4">
      <c r="A193" s="4" t="s">
        <v>186</v>
      </c>
      <c r="B193" s="4"/>
      <c r="C193" s="4"/>
      <c r="D193" s="4"/>
      <c r="E193" s="4"/>
      <c r="F193" s="4"/>
      <c r="G193" s="4"/>
      <c r="H193" s="4"/>
      <c r="I193" s="4"/>
    </row>
    <row r="194" spans="1:9" ht="15" thickBot="1" x14ac:dyDescent="0.45">
      <c r="A194" s="1" t="s">
        <v>296</v>
      </c>
      <c r="B194" s="1"/>
      <c r="C194" s="1"/>
      <c r="D194" s="1"/>
      <c r="E194" s="1"/>
      <c r="F194" s="1"/>
      <c r="G194" s="60"/>
      <c r="H194" s="60"/>
      <c r="I194" s="60"/>
    </row>
    <row r="195" spans="1:9" x14ac:dyDescent="0.4">
      <c r="A195" s="65" t="s">
        <v>0</v>
      </c>
      <c r="B195" s="66" t="s">
        <v>2</v>
      </c>
      <c r="C195" s="67" t="s">
        <v>1</v>
      </c>
      <c r="D195" s="67" t="s">
        <v>113</v>
      </c>
      <c r="E195" s="11" t="s">
        <v>69</v>
      </c>
      <c r="F195" s="65" t="s">
        <v>180</v>
      </c>
      <c r="G195" s="59"/>
      <c r="H195" s="59"/>
      <c r="I195" s="59"/>
    </row>
    <row r="196" spans="1:9" x14ac:dyDescent="0.4">
      <c r="A196" s="65" t="s">
        <v>3</v>
      </c>
      <c r="B196" s="70">
        <v>3.1</v>
      </c>
      <c r="C196" s="59">
        <v>7539.4</v>
      </c>
      <c r="D196" s="72">
        <f>C196/C198</f>
        <v>53.281978798586572</v>
      </c>
      <c r="E196" s="74">
        <f>(D197+0.0045)/0.0056</f>
        <v>1.2503154972236243</v>
      </c>
      <c r="F196" s="97">
        <f>(C197/(C196+C197))</f>
        <v>4.6951133949463072E-5</v>
      </c>
      <c r="G196" s="59"/>
      <c r="H196" s="59"/>
      <c r="I196" s="59"/>
    </row>
    <row r="197" spans="1:9" x14ac:dyDescent="0.4">
      <c r="A197" s="65" t="s">
        <v>5</v>
      </c>
      <c r="B197" s="70">
        <v>4.83</v>
      </c>
      <c r="C197" s="59">
        <v>0.35399999999999998</v>
      </c>
      <c r="D197" s="31">
        <f>C197/C198</f>
        <v>2.5017667844522968E-3</v>
      </c>
      <c r="E197" s="74"/>
      <c r="F197" s="72"/>
      <c r="G197" s="59"/>
      <c r="H197" s="59"/>
      <c r="I197" s="59"/>
    </row>
    <row r="198" spans="1:9" ht="15" thickBot="1" x14ac:dyDescent="0.45">
      <c r="A198" s="65" t="s">
        <v>4</v>
      </c>
      <c r="B198" s="75">
        <v>6.2119999999999997</v>
      </c>
      <c r="C198" s="16">
        <v>141.5</v>
      </c>
      <c r="D198" s="76"/>
      <c r="E198" s="77"/>
      <c r="F198" s="100">
        <f>C198/(C196+C197+C198)</f>
        <v>1.8421471285808282E-2</v>
      </c>
      <c r="G198" s="59"/>
      <c r="H198" s="59"/>
      <c r="I198" s="59"/>
    </row>
    <row r="199" spans="1:9" ht="15" thickBot="1" x14ac:dyDescent="0.45">
      <c r="A199" s="1" t="s">
        <v>299</v>
      </c>
      <c r="B199" s="78"/>
      <c r="C199" s="78"/>
      <c r="D199" s="78"/>
      <c r="E199" s="78"/>
      <c r="F199" s="78"/>
      <c r="G199" s="87"/>
      <c r="H199" s="87"/>
      <c r="I199" s="87"/>
    </row>
    <row r="200" spans="1:9" x14ac:dyDescent="0.4">
      <c r="A200" s="65" t="s">
        <v>0</v>
      </c>
      <c r="B200" s="66" t="s">
        <v>2</v>
      </c>
      <c r="C200" s="67" t="s">
        <v>1</v>
      </c>
      <c r="D200" s="67" t="s">
        <v>113</v>
      </c>
      <c r="E200" s="11" t="s">
        <v>69</v>
      </c>
      <c r="F200" s="65" t="s">
        <v>180</v>
      </c>
      <c r="G200" s="87"/>
      <c r="H200" s="87"/>
      <c r="I200" s="87"/>
    </row>
    <row r="201" spans="1:9" x14ac:dyDescent="0.4">
      <c r="A201" s="65" t="s">
        <v>3</v>
      </c>
      <c r="B201" s="70">
        <v>3.14</v>
      </c>
      <c r="C201" s="59">
        <v>8062.6</v>
      </c>
      <c r="D201" s="72">
        <f>C201/C203</f>
        <v>52.185113268608418</v>
      </c>
      <c r="E201" s="74">
        <f>(D202+0.0045)/0.0056</f>
        <v>1.671578825705039</v>
      </c>
      <c r="F201" s="97">
        <f>(C202/(C201+C202))</f>
        <v>9.3137456127111409E-5</v>
      </c>
      <c r="G201" s="87"/>
      <c r="H201" s="87"/>
      <c r="I201" s="87"/>
    </row>
    <row r="202" spans="1:9" x14ac:dyDescent="0.4">
      <c r="A202" s="65" t="s">
        <v>5</v>
      </c>
      <c r="B202" s="70">
        <v>4.83</v>
      </c>
      <c r="C202" s="59">
        <v>0.751</v>
      </c>
      <c r="D202" s="31">
        <f>C202/C203</f>
        <v>4.8608414239482197E-3</v>
      </c>
      <c r="E202" s="74"/>
      <c r="F202" s="72"/>
      <c r="G202" s="87"/>
      <c r="H202" s="87"/>
      <c r="I202" s="87"/>
    </row>
    <row r="203" spans="1:9" ht="15" thickBot="1" x14ac:dyDescent="0.45">
      <c r="A203" s="65" t="s">
        <v>4</v>
      </c>
      <c r="B203" s="75">
        <v>6.2119999999999997</v>
      </c>
      <c r="C203" s="76">
        <v>154.5</v>
      </c>
      <c r="D203" s="76"/>
      <c r="E203" s="77"/>
      <c r="F203" s="100">
        <f>C203/(C201+C202+C203)</f>
        <v>1.8800535565806679E-2</v>
      </c>
      <c r="G203" s="87"/>
      <c r="H203" s="87"/>
      <c r="I203" s="87"/>
    </row>
    <row r="204" spans="1:9" ht="15" thickBot="1" x14ac:dyDescent="0.45">
      <c r="A204" s="1" t="s">
        <v>300</v>
      </c>
      <c r="B204" s="78"/>
      <c r="C204" s="78"/>
      <c r="D204" s="78"/>
      <c r="E204" s="78"/>
      <c r="F204" s="79"/>
      <c r="G204" s="87"/>
      <c r="H204" s="87"/>
      <c r="I204" s="87"/>
    </row>
    <row r="205" spans="1:9" x14ac:dyDescent="0.4">
      <c r="A205" t="s">
        <v>0</v>
      </c>
      <c r="B205" s="66" t="s">
        <v>2</v>
      </c>
      <c r="C205" s="67" t="s">
        <v>1</v>
      </c>
      <c r="D205" s="67" t="s">
        <v>113</v>
      </c>
      <c r="E205" s="11" t="s">
        <v>69</v>
      </c>
      <c r="F205" s="65" t="s">
        <v>180</v>
      </c>
      <c r="G205" s="21"/>
      <c r="H205" s="21"/>
      <c r="I205" s="21"/>
    </row>
    <row r="206" spans="1:9" x14ac:dyDescent="0.4">
      <c r="A206" t="s">
        <v>3</v>
      </c>
      <c r="B206" s="18">
        <v>3.1</v>
      </c>
      <c r="C206" s="59">
        <v>7234.9</v>
      </c>
      <c r="D206" s="8">
        <f>C196/C198</f>
        <v>53.281978798586572</v>
      </c>
      <c r="E206" s="74">
        <f>(D207+0.0045)/0.0056</f>
        <v>2.1493271221532089</v>
      </c>
      <c r="F206" s="97">
        <f>(C197/(C196+C197))</f>
        <v>4.6951133949463072E-5</v>
      </c>
      <c r="G206" s="21"/>
      <c r="H206" s="21"/>
      <c r="I206" s="21"/>
    </row>
    <row r="207" spans="1:9" x14ac:dyDescent="0.4">
      <c r="A207" t="s">
        <v>5</v>
      </c>
      <c r="B207" s="18">
        <v>4.83</v>
      </c>
      <c r="C207" s="59">
        <v>1.04</v>
      </c>
      <c r="D207" s="32">
        <f>C207/C208</f>
        <v>7.5362318840579709E-3</v>
      </c>
      <c r="E207" s="13"/>
      <c r="F207" s="72"/>
      <c r="G207" s="21"/>
      <c r="H207" s="21"/>
      <c r="I207" s="21"/>
    </row>
    <row r="208" spans="1:9" ht="15" thickBot="1" x14ac:dyDescent="0.45">
      <c r="A208" t="s">
        <v>4</v>
      </c>
      <c r="B208" s="20">
        <v>6.2119999999999997</v>
      </c>
      <c r="C208" s="86">
        <v>138</v>
      </c>
      <c r="D208" s="16"/>
      <c r="E208" s="24"/>
      <c r="F208" s="100">
        <f>C198/(C196+C197+C198)</f>
        <v>1.8421471285808282E-2</v>
      </c>
      <c r="G208" s="21"/>
      <c r="H208" s="21"/>
      <c r="I208" s="21"/>
    </row>
    <row r="209" spans="1:9" x14ac:dyDescent="0.4">
      <c r="A209" s="4" t="s">
        <v>186</v>
      </c>
      <c r="B209" s="4"/>
      <c r="C209" s="4"/>
      <c r="D209" s="4"/>
      <c r="E209" s="4"/>
      <c r="F209" s="4"/>
      <c r="G209" s="4"/>
      <c r="H209" s="4"/>
      <c r="I209" s="4"/>
    </row>
    <row r="210" spans="1:9" ht="15" thickBot="1" x14ac:dyDescent="0.45">
      <c r="A210" s="1" t="s">
        <v>301</v>
      </c>
      <c r="B210" s="1"/>
      <c r="C210" s="1"/>
      <c r="D210" s="1"/>
      <c r="E210" s="1"/>
      <c r="F210" s="1"/>
      <c r="G210" s="60"/>
      <c r="H210" s="60"/>
      <c r="I210" s="60"/>
    </row>
    <row r="211" spans="1:9" x14ac:dyDescent="0.4">
      <c r="A211" s="65" t="s">
        <v>0</v>
      </c>
      <c r="B211" s="66" t="s">
        <v>2</v>
      </c>
      <c r="C211" s="67" t="s">
        <v>1</v>
      </c>
      <c r="D211" s="67" t="s">
        <v>113</v>
      </c>
      <c r="E211" s="11" t="s">
        <v>69</v>
      </c>
      <c r="F211" s="65" t="s">
        <v>180</v>
      </c>
      <c r="G211" s="59"/>
      <c r="H211" s="59"/>
      <c r="I211" s="59"/>
    </row>
    <row r="212" spans="1:9" x14ac:dyDescent="0.4">
      <c r="A212" s="65" t="s">
        <v>3</v>
      </c>
      <c r="B212" s="70">
        <v>3.1</v>
      </c>
      <c r="C212" s="71">
        <v>7705.2</v>
      </c>
      <c r="D212" s="72">
        <f>C212/C214</f>
        <v>53.397089397089388</v>
      </c>
      <c r="E212" s="74">
        <f>(D213+0.0045)/0.0056</f>
        <v>0.80357142857142849</v>
      </c>
      <c r="F212" s="97">
        <f>(C213/(C212+C213))</f>
        <v>0</v>
      </c>
      <c r="G212" s="59"/>
      <c r="H212" s="59"/>
      <c r="I212" s="59"/>
    </row>
    <row r="213" spans="1:9" x14ac:dyDescent="0.4">
      <c r="A213" s="65" t="s">
        <v>5</v>
      </c>
      <c r="B213" s="70">
        <v>4.83</v>
      </c>
      <c r="C213" s="71">
        <v>0</v>
      </c>
      <c r="D213" s="31">
        <f>C213/C214</f>
        <v>0</v>
      </c>
      <c r="E213" s="74"/>
      <c r="F213" s="72"/>
      <c r="G213" s="59"/>
      <c r="H213" s="59"/>
      <c r="I213" s="59"/>
    </row>
    <row r="214" spans="1:9" ht="15" thickBot="1" x14ac:dyDescent="0.45">
      <c r="A214" s="65" t="s">
        <v>4</v>
      </c>
      <c r="B214" s="75">
        <v>6.2119999999999997</v>
      </c>
      <c r="C214" s="76">
        <v>144.30000000000001</v>
      </c>
      <c r="D214" s="76"/>
      <c r="E214" s="77"/>
      <c r="F214" s="100">
        <f>C214/(C212+C213+C214)</f>
        <v>1.8383336518249572E-2</v>
      </c>
      <c r="G214" s="59"/>
      <c r="H214" s="59"/>
      <c r="I214" s="59"/>
    </row>
    <row r="215" spans="1:9" ht="15" thickBot="1" x14ac:dyDescent="0.45">
      <c r="A215" s="1" t="s">
        <v>297</v>
      </c>
      <c r="B215" s="78"/>
      <c r="C215" s="78"/>
      <c r="D215" s="78"/>
      <c r="E215" s="78"/>
      <c r="F215" s="78"/>
      <c r="G215" s="87"/>
      <c r="H215" s="87"/>
      <c r="I215" s="87"/>
    </row>
    <row r="216" spans="1:9" x14ac:dyDescent="0.4">
      <c r="A216" s="65" t="s">
        <v>0</v>
      </c>
      <c r="B216" s="66" t="s">
        <v>2</v>
      </c>
      <c r="C216" s="67" t="s">
        <v>1</v>
      </c>
      <c r="D216" s="67" t="s">
        <v>113</v>
      </c>
      <c r="E216" s="11" t="s">
        <v>69</v>
      </c>
      <c r="F216" s="65" t="s">
        <v>180</v>
      </c>
      <c r="G216" s="87"/>
      <c r="H216" s="87"/>
      <c r="I216" s="87"/>
    </row>
    <row r="217" spans="1:9" x14ac:dyDescent="0.4">
      <c r="A217" s="65" t="s">
        <v>3</v>
      </c>
      <c r="B217" s="70">
        <v>3.14</v>
      </c>
      <c r="C217" s="59">
        <v>8075.2</v>
      </c>
      <c r="D217" s="72">
        <f>C217/C219</f>
        <v>52.538711776187384</v>
      </c>
      <c r="E217" s="74">
        <f>(D218+0.0045)/0.0056</f>
        <v>1.4553513337670789</v>
      </c>
      <c r="F217" s="97">
        <f>(C218/(C217+C218))</f>
        <v>6.9467137524253139E-5</v>
      </c>
      <c r="G217" s="87"/>
      <c r="H217" s="87"/>
      <c r="I217" s="87"/>
    </row>
    <row r="218" spans="1:9" x14ac:dyDescent="0.4">
      <c r="A218" s="65" t="s">
        <v>5</v>
      </c>
      <c r="B218" s="70">
        <v>4.83</v>
      </c>
      <c r="C218" s="59">
        <v>0.56100000000000005</v>
      </c>
      <c r="D218" s="31">
        <f>C218/C219</f>
        <v>3.6499674690956413E-3</v>
      </c>
      <c r="E218" s="74"/>
      <c r="F218" s="72"/>
      <c r="G218" s="87"/>
      <c r="H218" s="87"/>
      <c r="I218" s="87"/>
    </row>
    <row r="219" spans="1:9" ht="15" thickBot="1" x14ac:dyDescent="0.45">
      <c r="A219" s="65" t="s">
        <v>4</v>
      </c>
      <c r="B219" s="75">
        <v>6.2119999999999997</v>
      </c>
      <c r="C219" s="76">
        <v>153.69999999999999</v>
      </c>
      <c r="D219" s="76"/>
      <c r="E219" s="77"/>
      <c r="F219" s="100">
        <f>C219/(C217+C218+C219)</f>
        <v>1.8676800339657726E-2</v>
      </c>
      <c r="G219" s="87"/>
      <c r="H219" s="87"/>
      <c r="I219" s="87"/>
    </row>
    <row r="220" spans="1:9" ht="15" thickBot="1" x14ac:dyDescent="0.45">
      <c r="A220" s="1" t="s">
        <v>302</v>
      </c>
      <c r="B220" s="78"/>
      <c r="C220" s="78"/>
      <c r="D220" s="78"/>
      <c r="E220" s="78"/>
      <c r="F220" s="79"/>
      <c r="G220" s="87"/>
      <c r="H220" s="87"/>
      <c r="I220" s="87"/>
    </row>
    <row r="221" spans="1:9" x14ac:dyDescent="0.4">
      <c r="A221" t="s">
        <v>0</v>
      </c>
      <c r="B221" s="66" t="s">
        <v>2</v>
      </c>
      <c r="C221" s="67" t="s">
        <v>1</v>
      </c>
      <c r="D221" s="67" t="s">
        <v>113</v>
      </c>
      <c r="E221" s="11" t="s">
        <v>69</v>
      </c>
      <c r="F221" s="65" t="s">
        <v>180</v>
      </c>
      <c r="G221" s="21"/>
      <c r="H221" s="21"/>
      <c r="I221" s="21"/>
    </row>
    <row r="222" spans="1:9" x14ac:dyDescent="0.4">
      <c r="A222" t="s">
        <v>3</v>
      </c>
      <c r="B222" s="18">
        <v>3.1</v>
      </c>
      <c r="C222" s="59">
        <v>7224.8</v>
      </c>
      <c r="D222" s="8">
        <f>C222/C224</f>
        <v>52.62053896576839</v>
      </c>
      <c r="E222" s="74">
        <f>(D223+0.0045)/0.0056</f>
        <v>1.7530043699927167</v>
      </c>
      <c r="F222" s="97">
        <f>(C223/(C222+C223))</f>
        <v>1.0103065103874733E-4</v>
      </c>
      <c r="G222" s="21"/>
      <c r="H222" s="21"/>
      <c r="I222" s="21"/>
    </row>
    <row r="223" spans="1:9" x14ac:dyDescent="0.4">
      <c r="A223" t="s">
        <v>5</v>
      </c>
      <c r="B223" s="18">
        <v>4.83</v>
      </c>
      <c r="C223" s="59">
        <v>0.73</v>
      </c>
      <c r="D223" s="32">
        <f>C223/C224</f>
        <v>5.3168244719592125E-3</v>
      </c>
      <c r="E223" s="13"/>
      <c r="F223" s="72"/>
      <c r="G223" s="21"/>
      <c r="H223" s="21"/>
      <c r="I223" s="21"/>
    </row>
    <row r="224" spans="1:9" ht="15" thickBot="1" x14ac:dyDescent="0.45">
      <c r="A224" t="s">
        <v>4</v>
      </c>
      <c r="B224" s="20">
        <v>6.2119999999999997</v>
      </c>
      <c r="C224" s="16">
        <v>137.30000000000001</v>
      </c>
      <c r="D224" s="16"/>
      <c r="E224" s="24"/>
      <c r="F224" s="100">
        <f>C224/(C222+C223+C224)</f>
        <v>1.8647721052910363E-2</v>
      </c>
      <c r="G224" s="21"/>
      <c r="H224" s="21"/>
      <c r="I224" s="21"/>
    </row>
    <row r="225" spans="1:9" x14ac:dyDescent="0.4">
      <c r="A225" s="4" t="s">
        <v>186</v>
      </c>
      <c r="B225" s="4"/>
      <c r="C225" s="4"/>
      <c r="D225" s="4"/>
      <c r="E225" s="4"/>
      <c r="F225" s="4"/>
      <c r="G225" s="4"/>
      <c r="H225" s="4"/>
      <c r="I225" s="4"/>
    </row>
    <row r="226" spans="1:9" ht="15" thickBot="1" x14ac:dyDescent="0.45">
      <c r="A226" s="1" t="s">
        <v>303</v>
      </c>
      <c r="B226" s="1"/>
      <c r="C226" s="1"/>
      <c r="D226" s="1"/>
      <c r="E226" s="1"/>
      <c r="F226" s="1"/>
      <c r="G226" s="60"/>
      <c r="H226" s="60"/>
      <c r="I226" s="60"/>
    </row>
    <row r="227" spans="1:9" x14ac:dyDescent="0.4">
      <c r="A227" s="65" t="s">
        <v>0</v>
      </c>
      <c r="B227" s="66" t="s">
        <v>2</v>
      </c>
      <c r="C227" s="67" t="s">
        <v>1</v>
      </c>
      <c r="D227" s="67" t="s">
        <v>113</v>
      </c>
      <c r="E227" s="11" t="s">
        <v>69</v>
      </c>
      <c r="F227" s="65" t="s">
        <v>180</v>
      </c>
      <c r="G227" s="59"/>
      <c r="H227" s="59"/>
      <c r="I227" s="59"/>
    </row>
    <row r="228" spans="1:9" x14ac:dyDescent="0.4">
      <c r="A228" s="65" t="s">
        <v>3</v>
      </c>
      <c r="B228" s="70">
        <v>3.1</v>
      </c>
      <c r="C228" s="71">
        <f>7308.6</f>
        <v>7308.6</v>
      </c>
      <c r="D228" s="72">
        <f>C228/C230</f>
        <v>53.230881281864526</v>
      </c>
      <c r="E228" s="74">
        <f>(D229+0.0045)/0.0056</f>
        <v>1.6736681926958694</v>
      </c>
      <c r="F228" s="97">
        <f>(C229/(C228+C229))</f>
        <v>9.152762061431861E-5</v>
      </c>
      <c r="G228" s="59"/>
      <c r="H228" s="59"/>
      <c r="I228" s="59"/>
    </row>
    <row r="229" spans="1:9" x14ac:dyDescent="0.4">
      <c r="A229" s="65" t="s">
        <v>5</v>
      </c>
      <c r="B229" s="70">
        <v>4.83</v>
      </c>
      <c r="C229" s="71">
        <v>0.66900000000000004</v>
      </c>
      <c r="D229" s="31">
        <f>C229/C230</f>
        <v>4.8725418790968684E-3</v>
      </c>
      <c r="E229" s="74"/>
      <c r="F229" s="72"/>
      <c r="G229" s="59"/>
      <c r="H229" s="59"/>
      <c r="I229" s="59"/>
    </row>
    <row r="230" spans="1:9" ht="15" thickBot="1" x14ac:dyDescent="0.45">
      <c r="A230" s="65" t="s">
        <v>4</v>
      </c>
      <c r="B230" s="75">
        <v>6.2119999999999997</v>
      </c>
      <c r="C230" s="76">
        <v>137.30000000000001</v>
      </c>
      <c r="D230" s="76"/>
      <c r="E230" s="77"/>
      <c r="F230" s="100">
        <f>C230/(C228+C229+C230)</f>
        <v>1.8438021590882998E-2</v>
      </c>
      <c r="G230" s="59"/>
      <c r="H230" s="59"/>
      <c r="I230" s="59"/>
    </row>
    <row r="231" spans="1:9" ht="15" thickBot="1" x14ac:dyDescent="0.45">
      <c r="A231" s="1" t="s">
        <v>304</v>
      </c>
      <c r="B231" s="78"/>
      <c r="C231" s="78"/>
      <c r="D231" s="78"/>
      <c r="E231" s="78"/>
      <c r="F231" s="78"/>
      <c r="G231" s="87"/>
      <c r="H231" s="87"/>
      <c r="I231" s="87"/>
    </row>
    <row r="232" spans="1:9" x14ac:dyDescent="0.4">
      <c r="A232" s="65" t="s">
        <v>0</v>
      </c>
      <c r="B232" s="66" t="s">
        <v>2</v>
      </c>
      <c r="C232" s="67" t="s">
        <v>1</v>
      </c>
      <c r="D232" s="67" t="s">
        <v>113</v>
      </c>
      <c r="E232" s="11" t="s">
        <v>69</v>
      </c>
      <c r="F232" s="65" t="s">
        <v>180</v>
      </c>
      <c r="G232" s="87"/>
      <c r="H232" s="87"/>
      <c r="I232" s="87"/>
    </row>
    <row r="233" spans="1:9" x14ac:dyDescent="0.4">
      <c r="A233" s="65" t="s">
        <v>3</v>
      </c>
      <c r="B233" s="70">
        <v>3.14</v>
      </c>
      <c r="C233" s="59">
        <v>6781.5</v>
      </c>
      <c r="D233" s="72">
        <f>C233/C235</f>
        <v>52.774319066147861</v>
      </c>
      <c r="E233" s="74">
        <f>(D234+0.0045)/0.0056</f>
        <v>3.1104085603112841</v>
      </c>
      <c r="F233" s="97">
        <f>(C234/(C233+C234))</f>
        <v>2.4472369809941087E-4</v>
      </c>
      <c r="G233" s="87"/>
      <c r="H233" s="87"/>
      <c r="I233" s="87"/>
    </row>
    <row r="234" spans="1:9" x14ac:dyDescent="0.4">
      <c r="A234" s="65" t="s">
        <v>5</v>
      </c>
      <c r="B234" s="70">
        <v>4.83</v>
      </c>
      <c r="C234" s="59">
        <v>1.66</v>
      </c>
      <c r="D234" s="31">
        <f>C234/C235</f>
        <v>1.2918287937743189E-2</v>
      </c>
      <c r="E234" s="74"/>
      <c r="F234" s="72"/>
      <c r="G234" s="87"/>
      <c r="H234" s="87"/>
      <c r="I234" s="87"/>
    </row>
    <row r="235" spans="1:9" ht="15" thickBot="1" x14ac:dyDescent="0.45">
      <c r="A235" s="65" t="s">
        <v>4</v>
      </c>
      <c r="B235" s="75">
        <v>6.2119999999999997</v>
      </c>
      <c r="C235" s="76">
        <v>128.5</v>
      </c>
      <c r="D235" s="76"/>
      <c r="E235" s="77"/>
      <c r="F235" s="100">
        <f>C235/(C233+C234+C235)</f>
        <v>1.8591771007254409E-2</v>
      </c>
      <c r="G235" s="87"/>
      <c r="H235" s="87"/>
      <c r="I235" s="87"/>
    </row>
    <row r="236" spans="1:9" ht="15" thickBot="1" x14ac:dyDescent="0.45">
      <c r="A236" s="1" t="s">
        <v>298</v>
      </c>
      <c r="B236" s="78"/>
      <c r="C236" s="78"/>
      <c r="D236" s="78"/>
      <c r="E236" s="78"/>
      <c r="F236" s="79"/>
      <c r="G236" s="87"/>
      <c r="H236" s="87"/>
      <c r="I236" s="87"/>
    </row>
    <row r="237" spans="1:9" x14ac:dyDescent="0.4">
      <c r="A237" t="s">
        <v>0</v>
      </c>
      <c r="B237" s="66" t="s">
        <v>2</v>
      </c>
      <c r="C237" s="67" t="s">
        <v>1</v>
      </c>
      <c r="D237" s="67" t="s">
        <v>113</v>
      </c>
      <c r="E237" s="11" t="s">
        <v>69</v>
      </c>
      <c r="F237" s="65" t="s">
        <v>180</v>
      </c>
      <c r="G237" s="21"/>
      <c r="H237" s="21"/>
      <c r="I237" s="21"/>
    </row>
    <row r="238" spans="1:9" x14ac:dyDescent="0.4">
      <c r="A238" t="s">
        <v>3</v>
      </c>
      <c r="B238" s="18">
        <v>3.1</v>
      </c>
      <c r="C238" s="59">
        <v>6623.5</v>
      </c>
      <c r="D238" s="8">
        <f>C238/C240</f>
        <v>51.989795918367342</v>
      </c>
      <c r="E238" s="74">
        <f>(D239+0.0045)/0.0056</f>
        <v>5.541180758017493</v>
      </c>
      <c r="F238" s="97">
        <f>(C239/(C238+C239))</f>
        <v>5.1004394224733209E-4</v>
      </c>
      <c r="G238" s="21"/>
      <c r="H238" s="21"/>
      <c r="I238" s="21"/>
    </row>
    <row r="239" spans="1:9" x14ac:dyDescent="0.4">
      <c r="A239" t="s">
        <v>5</v>
      </c>
      <c r="B239" s="18">
        <v>4.83</v>
      </c>
      <c r="C239" s="59">
        <v>3.38</v>
      </c>
      <c r="D239" s="32">
        <f>C239/C240</f>
        <v>2.6530612244897958E-2</v>
      </c>
      <c r="E239" s="13"/>
      <c r="F239" s="72"/>
      <c r="G239" s="21"/>
      <c r="H239" s="21"/>
      <c r="I239" s="21"/>
    </row>
    <row r="240" spans="1:9" ht="15" thickBot="1" x14ac:dyDescent="0.45">
      <c r="A240" t="s">
        <v>4</v>
      </c>
      <c r="B240" s="20">
        <v>6.2119999999999997</v>
      </c>
      <c r="C240" s="16">
        <v>127.4</v>
      </c>
      <c r="D240" s="16"/>
      <c r="E240" s="24"/>
      <c r="F240" s="100">
        <f>C240/(C238+C239+C240)</f>
        <v>1.8862114096543231E-2</v>
      </c>
      <c r="G240" s="21"/>
      <c r="H240" s="21"/>
      <c r="I240" s="21"/>
    </row>
    <row r="241" spans="1:9" x14ac:dyDescent="0.4">
      <c r="A241" s="4" t="s">
        <v>186</v>
      </c>
      <c r="B241" s="4"/>
      <c r="C241" s="4"/>
      <c r="D241" s="4"/>
      <c r="E241" s="4"/>
      <c r="F241" s="4"/>
      <c r="G241" s="4"/>
      <c r="H241" s="4"/>
      <c r="I241" s="4"/>
    </row>
    <row r="242" spans="1:9" ht="15" thickBot="1" x14ac:dyDescent="0.45">
      <c r="A242" s="1" t="s">
        <v>305</v>
      </c>
      <c r="B242" s="1"/>
      <c r="C242" s="1"/>
      <c r="D242" s="1"/>
      <c r="E242" s="1"/>
      <c r="F242" s="1"/>
      <c r="G242" s="60"/>
      <c r="H242" s="60"/>
      <c r="I242" s="60"/>
    </row>
    <row r="243" spans="1:9" x14ac:dyDescent="0.4">
      <c r="A243" s="65" t="s">
        <v>0</v>
      </c>
      <c r="B243" s="66" t="s">
        <v>2</v>
      </c>
      <c r="C243" s="67" t="s">
        <v>1</v>
      </c>
      <c r="D243" s="67" t="s">
        <v>113</v>
      </c>
      <c r="E243" s="11" t="s">
        <v>69</v>
      </c>
      <c r="F243" s="65" t="s">
        <v>180</v>
      </c>
      <c r="G243" s="59"/>
      <c r="H243" s="59"/>
      <c r="I243" s="59"/>
    </row>
    <row r="244" spans="1:9" x14ac:dyDescent="0.4">
      <c r="A244" s="65" t="s">
        <v>3</v>
      </c>
      <c r="B244" s="70">
        <v>3.1</v>
      </c>
      <c r="C244" s="71">
        <v>7125.3</v>
      </c>
      <c r="D244" s="72">
        <f>C244/C246</f>
        <v>53.055100521221142</v>
      </c>
      <c r="E244" s="74">
        <f>(D245+0.0045)/0.0056</f>
        <v>1.4391421125412192</v>
      </c>
      <c r="F244" s="97">
        <f>(C245/(C244+C245))</f>
        <v>6.7080394589895997E-5</v>
      </c>
      <c r="G244" s="59"/>
      <c r="H244" s="59"/>
      <c r="I244" s="59"/>
    </row>
    <row r="245" spans="1:9" x14ac:dyDescent="0.4">
      <c r="A245" s="65" t="s">
        <v>5</v>
      </c>
      <c r="B245" s="70">
        <v>4.83</v>
      </c>
      <c r="C245" s="71">
        <v>0.47799999999999998</v>
      </c>
      <c r="D245" s="31">
        <f>C245/C246</f>
        <v>3.5591958302308262E-3</v>
      </c>
      <c r="E245" s="74"/>
      <c r="F245" s="72"/>
      <c r="G245" s="59"/>
      <c r="H245" s="59"/>
      <c r="I245" s="59"/>
    </row>
    <row r="246" spans="1:9" ht="15" thickBot="1" x14ac:dyDescent="0.45">
      <c r="A246" s="65" t="s">
        <v>4</v>
      </c>
      <c r="B246" s="75">
        <v>6.2119999999999997</v>
      </c>
      <c r="C246" s="76">
        <v>134.30000000000001</v>
      </c>
      <c r="D246" s="76"/>
      <c r="E246" s="77"/>
      <c r="F246" s="100">
        <f>C246/(C244+C245+C246)</f>
        <v>1.8498423846134988E-2</v>
      </c>
      <c r="G246" s="59"/>
      <c r="H246" s="59"/>
      <c r="I246" s="59"/>
    </row>
    <row r="247" spans="1:9" ht="15" thickBot="1" x14ac:dyDescent="0.45">
      <c r="A247" s="1" t="s">
        <v>306</v>
      </c>
      <c r="B247" s="78"/>
      <c r="C247" s="78"/>
      <c r="D247" s="78"/>
      <c r="E247" s="78"/>
      <c r="F247" s="78"/>
      <c r="G247" s="87"/>
      <c r="H247" s="87"/>
      <c r="I247" s="87"/>
    </row>
    <row r="248" spans="1:9" x14ac:dyDescent="0.4">
      <c r="A248" s="65" t="s">
        <v>0</v>
      </c>
      <c r="B248" s="66" t="s">
        <v>2</v>
      </c>
      <c r="C248" s="67" t="s">
        <v>1</v>
      </c>
      <c r="D248" s="67" t="s">
        <v>113</v>
      </c>
      <c r="E248" s="11" t="s">
        <v>69</v>
      </c>
      <c r="F248" s="65" t="s">
        <v>180</v>
      </c>
      <c r="G248" s="87"/>
      <c r="H248" s="87"/>
      <c r="I248" s="87"/>
    </row>
    <row r="249" spans="1:9" x14ac:dyDescent="0.4">
      <c r="A249" s="65" t="s">
        <v>3</v>
      </c>
      <c r="B249" s="70">
        <v>3.14</v>
      </c>
      <c r="C249" s="59">
        <v>6816.8</v>
      </c>
      <c r="D249" s="72">
        <f>C249/C251</f>
        <v>52.598765432098766</v>
      </c>
      <c r="E249" s="74">
        <f>(D250+0.0045)/0.0056</f>
        <v>2.1001432980599648</v>
      </c>
      <c r="F249" s="97">
        <f>(C250/(C249+C250))</f>
        <v>1.3802225693231818E-4</v>
      </c>
      <c r="G249" s="87"/>
      <c r="H249" s="87"/>
      <c r="I249" s="87"/>
    </row>
    <row r="250" spans="1:9" x14ac:dyDescent="0.4">
      <c r="A250" s="65" t="s">
        <v>5</v>
      </c>
      <c r="B250" s="70">
        <v>4.83</v>
      </c>
      <c r="C250" s="59">
        <v>0.94099999999999995</v>
      </c>
      <c r="D250" s="31">
        <f>C250/C251</f>
        <v>7.2608024691358025E-3</v>
      </c>
      <c r="E250" s="74"/>
      <c r="F250" s="72"/>
      <c r="G250" s="87"/>
      <c r="H250" s="87"/>
      <c r="I250" s="87"/>
    </row>
    <row r="251" spans="1:9" ht="15" thickBot="1" x14ac:dyDescent="0.45">
      <c r="A251" s="65" t="s">
        <v>4</v>
      </c>
      <c r="B251" s="75">
        <v>6.2119999999999997</v>
      </c>
      <c r="C251" s="76">
        <v>129.6</v>
      </c>
      <c r="D251" s="76"/>
      <c r="E251" s="77"/>
      <c r="F251" s="100">
        <f>C251/(C249+C250+C251)</f>
        <v>1.8654619083761686E-2</v>
      </c>
      <c r="G251" s="87"/>
      <c r="H251" s="87"/>
      <c r="I251" s="87"/>
    </row>
    <row r="252" spans="1:9" ht="15" thickBot="1" x14ac:dyDescent="0.45">
      <c r="A252" s="1" t="s">
        <v>307</v>
      </c>
      <c r="B252" s="78"/>
      <c r="C252" s="78"/>
      <c r="D252" s="78"/>
      <c r="E252" s="78"/>
      <c r="F252" s="79"/>
      <c r="G252" s="87"/>
      <c r="H252" s="87"/>
      <c r="I252" s="87"/>
    </row>
    <row r="253" spans="1:9" x14ac:dyDescent="0.4">
      <c r="A253" t="s">
        <v>0</v>
      </c>
      <c r="B253" s="66" t="s">
        <v>2</v>
      </c>
      <c r="C253" s="67" t="s">
        <v>1</v>
      </c>
      <c r="D253" s="67" t="s">
        <v>113</v>
      </c>
      <c r="E253" s="11" t="s">
        <v>69</v>
      </c>
      <c r="F253" s="65" t="s">
        <v>180</v>
      </c>
      <c r="G253" s="21"/>
      <c r="H253" s="21"/>
      <c r="I253" s="21"/>
    </row>
    <row r="254" spans="1:9" x14ac:dyDescent="0.4">
      <c r="A254" t="s">
        <v>3</v>
      </c>
      <c r="B254" s="18">
        <v>3.1</v>
      </c>
      <c r="C254" s="59">
        <v>7171.6</v>
      </c>
      <c r="D254" s="8">
        <f>C254/C256</f>
        <v>52.271137026239074</v>
      </c>
      <c r="E254" s="74">
        <f>(D255+0.0045)/0.0056</f>
        <v>3.276499375260308</v>
      </c>
      <c r="F254" s="97">
        <f>(C255/(C254+C255))</f>
        <v>2.6486373457865756E-4</v>
      </c>
      <c r="G254" s="21"/>
      <c r="H254" s="21"/>
      <c r="I254" s="21"/>
    </row>
    <row r="255" spans="1:9" x14ac:dyDescent="0.4">
      <c r="A255" t="s">
        <v>5</v>
      </c>
      <c r="B255" s="18">
        <v>4.83</v>
      </c>
      <c r="C255" s="59">
        <v>1.9</v>
      </c>
      <c r="D255" s="32">
        <f>C255/C256</f>
        <v>1.3848396501457727E-2</v>
      </c>
      <c r="E255" s="13"/>
      <c r="F255" s="72"/>
      <c r="G255" s="21"/>
      <c r="H255" s="21"/>
      <c r="I255" s="21"/>
    </row>
    <row r="256" spans="1:9" ht="15" thickBot="1" x14ac:dyDescent="0.45">
      <c r="A256" t="s">
        <v>4</v>
      </c>
      <c r="B256" s="20">
        <v>6.2119999999999997</v>
      </c>
      <c r="C256" s="16">
        <v>137.19999999999999</v>
      </c>
      <c r="D256" s="16"/>
      <c r="E256" s="24"/>
      <c r="F256" s="100">
        <f>C256/(C254+C255+C256)</f>
        <v>1.8767012734758639E-2</v>
      </c>
      <c r="G256" s="21"/>
      <c r="H256" s="21"/>
      <c r="I256" s="21"/>
    </row>
    <row r="257" spans="1:9" x14ac:dyDescent="0.4">
      <c r="A257" s="4" t="s">
        <v>186</v>
      </c>
      <c r="B257" s="4"/>
      <c r="C257" s="4"/>
      <c r="D257" s="4"/>
      <c r="E257" s="4"/>
      <c r="F257" s="4"/>
      <c r="G257" s="4"/>
      <c r="H257" s="4"/>
      <c r="I257" s="4"/>
    </row>
    <row r="258" spans="1:9" ht="15" thickBot="1" x14ac:dyDescent="0.45">
      <c r="A258" s="1" t="s">
        <v>313</v>
      </c>
      <c r="B258" s="1"/>
      <c r="C258" s="1"/>
      <c r="D258" s="1"/>
      <c r="E258" s="1"/>
      <c r="F258" s="1"/>
      <c r="G258" s="60"/>
      <c r="H258" s="60"/>
      <c r="I258" s="60"/>
    </row>
    <row r="259" spans="1:9" x14ac:dyDescent="0.4">
      <c r="A259" s="65" t="s">
        <v>0</v>
      </c>
      <c r="B259" s="66" t="s">
        <v>2</v>
      </c>
      <c r="C259" s="67" t="s">
        <v>1</v>
      </c>
      <c r="D259" s="67" t="s">
        <v>113</v>
      </c>
      <c r="E259" s="11" t="s">
        <v>69</v>
      </c>
      <c r="F259" s="65" t="s">
        <v>180</v>
      </c>
      <c r="G259" s="59"/>
      <c r="H259" s="59"/>
      <c r="I259" s="59"/>
    </row>
    <row r="260" spans="1:9" x14ac:dyDescent="0.4">
      <c r="A260" s="65" t="s">
        <v>3</v>
      </c>
      <c r="B260" s="70">
        <v>3.1</v>
      </c>
      <c r="C260" s="71">
        <v>7395.7</v>
      </c>
      <c r="D260" s="72">
        <f>C260/C262</f>
        <v>52.977793696275072</v>
      </c>
      <c r="E260" s="74">
        <f>(D261+0.0045)/0.0056</f>
        <v>1.2308125255832993</v>
      </c>
      <c r="F260" s="97">
        <f>(C261/(C260+C261))</f>
        <v>4.5159338099311066E-5</v>
      </c>
      <c r="G260" s="59"/>
      <c r="H260" s="59"/>
      <c r="I260" s="59"/>
    </row>
    <row r="261" spans="1:9" x14ac:dyDescent="0.4">
      <c r="A261" s="65" t="s">
        <v>5</v>
      </c>
      <c r="B261" s="70">
        <v>4.83</v>
      </c>
      <c r="C261" s="71">
        <v>0.33400000000000002</v>
      </c>
      <c r="D261" s="31">
        <f>C261/C262</f>
        <v>2.3925501432664757E-3</v>
      </c>
      <c r="E261" s="74"/>
      <c r="F261" s="72"/>
      <c r="G261" s="59"/>
      <c r="H261" s="59"/>
      <c r="I261" s="59"/>
    </row>
    <row r="262" spans="1:9" ht="15" thickBot="1" x14ac:dyDescent="0.45">
      <c r="A262" s="65" t="s">
        <v>4</v>
      </c>
      <c r="B262" s="75">
        <v>6.2119999999999997</v>
      </c>
      <c r="C262" s="76">
        <v>139.6</v>
      </c>
      <c r="D262" s="76"/>
      <c r="E262" s="77"/>
      <c r="F262" s="100">
        <f>C262/(C260+C261+C262)</f>
        <v>1.8525315852654201E-2</v>
      </c>
      <c r="G262" s="59"/>
      <c r="H262" s="59"/>
      <c r="I262" s="59"/>
    </row>
    <row r="263" spans="1:9" ht="15" thickBot="1" x14ac:dyDescent="0.45">
      <c r="A263" s="1" t="s">
        <v>314</v>
      </c>
      <c r="B263" s="78"/>
      <c r="C263" s="78"/>
      <c r="D263" s="78"/>
      <c r="E263" s="78"/>
      <c r="F263" s="78"/>
      <c r="G263" s="87"/>
      <c r="H263" s="87"/>
      <c r="I263" s="87"/>
    </row>
    <row r="264" spans="1:9" x14ac:dyDescent="0.4">
      <c r="A264" s="65" t="s">
        <v>0</v>
      </c>
      <c r="B264" s="66" t="s">
        <v>2</v>
      </c>
      <c r="C264" s="67" t="s">
        <v>1</v>
      </c>
      <c r="D264" s="67" t="s">
        <v>113</v>
      </c>
      <c r="E264" s="11" t="s">
        <v>69</v>
      </c>
      <c r="F264" s="65" t="s">
        <v>180</v>
      </c>
      <c r="G264" s="87"/>
      <c r="H264" s="87"/>
      <c r="I264" s="87"/>
    </row>
    <row r="265" spans="1:9" x14ac:dyDescent="0.4">
      <c r="A265" s="65" t="s">
        <v>3</v>
      </c>
      <c r="B265" s="70">
        <v>3.14</v>
      </c>
      <c r="C265" s="59">
        <v>7576.3</v>
      </c>
      <c r="D265" s="72">
        <f>C265/C267</f>
        <v>53.092501751927124</v>
      </c>
      <c r="E265" s="74">
        <f>(D266+0.0045)/0.0056</f>
        <v>1.5869331264390831</v>
      </c>
      <c r="F265" s="97">
        <f>(C266/(C265+C266))</f>
        <v>8.261925746668239E-5</v>
      </c>
      <c r="G265" s="87"/>
      <c r="H265" s="87"/>
      <c r="I265" s="87"/>
    </row>
    <row r="266" spans="1:9" x14ac:dyDescent="0.4">
      <c r="A266" s="65" t="s">
        <v>5</v>
      </c>
      <c r="B266" s="70">
        <v>4.83</v>
      </c>
      <c r="C266" s="59">
        <v>0.626</v>
      </c>
      <c r="D266" s="31">
        <f>C266/C267</f>
        <v>4.3868255080588654E-3</v>
      </c>
      <c r="E266" s="74"/>
      <c r="F266" s="72"/>
      <c r="G266" s="87"/>
      <c r="H266" s="87"/>
      <c r="I266" s="87"/>
    </row>
    <row r="267" spans="1:9" ht="15" thickBot="1" x14ac:dyDescent="0.45">
      <c r="A267" s="65" t="s">
        <v>4</v>
      </c>
      <c r="B267" s="75">
        <v>6.2119999999999997</v>
      </c>
      <c r="C267" s="76">
        <v>142.69999999999999</v>
      </c>
      <c r="D267" s="76"/>
      <c r="E267" s="77"/>
      <c r="F267" s="100">
        <f>C267/(C265+C266+C267)</f>
        <v>1.8485351492416858E-2</v>
      </c>
      <c r="G267" s="87"/>
      <c r="H267" s="87"/>
      <c r="I267" s="87"/>
    </row>
    <row r="268" spans="1:9" ht="15" thickBot="1" x14ac:dyDescent="0.45">
      <c r="A268" s="1" t="s">
        <v>315</v>
      </c>
      <c r="B268" s="78"/>
      <c r="C268" s="78"/>
      <c r="D268" s="78"/>
      <c r="E268" s="78"/>
      <c r="F268" s="79"/>
      <c r="G268" s="87"/>
      <c r="H268" s="87"/>
      <c r="I268" s="87"/>
    </row>
    <row r="269" spans="1:9" x14ac:dyDescent="0.4">
      <c r="A269" t="s">
        <v>0</v>
      </c>
      <c r="B269" s="66" t="s">
        <v>2</v>
      </c>
      <c r="C269" s="67" t="s">
        <v>1</v>
      </c>
      <c r="D269" s="67" t="s">
        <v>113</v>
      </c>
      <c r="E269" s="11" t="s">
        <v>69</v>
      </c>
      <c r="F269" s="65" t="s">
        <v>180</v>
      </c>
      <c r="G269" s="21"/>
      <c r="H269" s="21"/>
      <c r="I269" s="21"/>
    </row>
    <row r="270" spans="1:9" x14ac:dyDescent="0.4">
      <c r="A270" t="s">
        <v>3</v>
      </c>
      <c r="B270" s="18">
        <v>3.1</v>
      </c>
      <c r="C270" s="59">
        <v>7348.9</v>
      </c>
      <c r="D270" s="8">
        <f>C270/C272</f>
        <v>52.379900213827504</v>
      </c>
      <c r="E270" s="74">
        <f>(D271+0.0045)/0.0056</f>
        <v>2.0228973627940126</v>
      </c>
      <c r="F270" s="97">
        <f>(C271/(C270+C271))</f>
        <v>1.3034265423903429E-4</v>
      </c>
      <c r="G270" s="21"/>
      <c r="H270" s="21"/>
      <c r="I270" s="21"/>
    </row>
    <row r="271" spans="1:9" x14ac:dyDescent="0.4">
      <c r="A271" t="s">
        <v>5</v>
      </c>
      <c r="B271" s="18">
        <v>4.83</v>
      </c>
      <c r="C271" s="59">
        <v>0.95799999999999996</v>
      </c>
      <c r="D271" s="32">
        <f>C271/C272</f>
        <v>6.8282252316464714E-3</v>
      </c>
      <c r="E271" s="13"/>
      <c r="F271" s="72"/>
      <c r="G271" s="21"/>
      <c r="H271" s="21"/>
      <c r="I271" s="21"/>
    </row>
    <row r="272" spans="1:9" ht="15" thickBot="1" x14ac:dyDescent="0.45">
      <c r="A272" t="s">
        <v>4</v>
      </c>
      <c r="B272" s="20">
        <v>6.2119999999999997</v>
      </c>
      <c r="C272" s="16">
        <v>140.30000000000001</v>
      </c>
      <c r="D272" s="16"/>
      <c r="E272" s="24"/>
      <c r="F272" s="100">
        <f>C272/(C270+C271+C272)</f>
        <v>1.8731247057805725E-2</v>
      </c>
      <c r="G272" s="21"/>
      <c r="H272" s="21"/>
      <c r="I272" s="21"/>
    </row>
    <row r="273" spans="1:9" x14ac:dyDescent="0.4">
      <c r="A273" s="4" t="s">
        <v>186</v>
      </c>
      <c r="B273" s="4"/>
      <c r="C273" s="4"/>
      <c r="D273" s="4"/>
      <c r="E273" s="4"/>
      <c r="F273" s="4"/>
      <c r="G273" s="4"/>
      <c r="H273" s="4"/>
      <c r="I273" s="4"/>
    </row>
    <row r="274" spans="1:9" ht="15" thickBot="1" x14ac:dyDescent="0.45">
      <c r="A274" s="1" t="s">
        <v>319</v>
      </c>
      <c r="B274" s="1"/>
      <c r="C274" s="1"/>
      <c r="D274" s="1"/>
      <c r="E274" s="1"/>
      <c r="F274" s="1"/>
      <c r="G274" s="60"/>
      <c r="H274" s="60"/>
      <c r="I274" s="60"/>
    </row>
    <row r="275" spans="1:9" x14ac:dyDescent="0.4">
      <c r="A275" s="65" t="s">
        <v>0</v>
      </c>
      <c r="B275" s="66" t="s">
        <v>2</v>
      </c>
      <c r="C275" s="67" t="s">
        <v>1</v>
      </c>
      <c r="D275" s="67" t="s">
        <v>113</v>
      </c>
      <c r="E275" s="11" t="s">
        <v>69</v>
      </c>
      <c r="F275" s="65" t="s">
        <v>180</v>
      </c>
      <c r="G275" s="59"/>
      <c r="H275" s="59"/>
      <c r="I275" s="59"/>
    </row>
    <row r="276" spans="1:9" x14ac:dyDescent="0.4">
      <c r="A276" s="65" t="s">
        <v>3</v>
      </c>
      <c r="B276" s="70">
        <v>3.1</v>
      </c>
      <c r="C276" s="71">
        <v>8149</v>
      </c>
      <c r="D276" s="72">
        <f>C276/C278</f>
        <v>53.053385416666671</v>
      </c>
      <c r="E276" s="74">
        <f>(D277+0.0045)/0.0056</f>
        <v>1.2651134672619049</v>
      </c>
      <c r="F276" s="97">
        <f>(C277/(C276+C277))</f>
        <v>4.8715260773281756E-5</v>
      </c>
      <c r="G276" s="59"/>
      <c r="H276" s="59"/>
      <c r="I276" s="59"/>
    </row>
    <row r="277" spans="1:9" x14ac:dyDescent="0.4">
      <c r="A277" s="65" t="s">
        <v>5</v>
      </c>
      <c r="B277" s="70">
        <v>4.83</v>
      </c>
      <c r="C277" s="71">
        <v>0.39700000000000002</v>
      </c>
      <c r="D277" s="31">
        <f>C277/C278</f>
        <v>2.5846354166666669E-3</v>
      </c>
      <c r="E277" s="74"/>
      <c r="F277" s="72"/>
      <c r="G277" s="59"/>
      <c r="H277" s="59"/>
      <c r="I277" s="59"/>
    </row>
    <row r="278" spans="1:9" ht="15" thickBot="1" x14ac:dyDescent="0.45">
      <c r="A278" s="65" t="s">
        <v>4</v>
      </c>
      <c r="B278" s="75">
        <v>6.2119999999999997</v>
      </c>
      <c r="C278" s="76">
        <v>153.6</v>
      </c>
      <c r="D278" s="76"/>
      <c r="E278" s="77"/>
      <c r="F278" s="100">
        <f>C278/(C276+C277+C278)</f>
        <v>1.849934427291736E-2</v>
      </c>
      <c r="G278" s="59"/>
      <c r="H278" s="59"/>
      <c r="I278" s="59"/>
    </row>
    <row r="279" spans="1:9" ht="15" thickBot="1" x14ac:dyDescent="0.45">
      <c r="A279" s="1" t="s">
        <v>320</v>
      </c>
      <c r="B279" s="78"/>
      <c r="C279" s="78"/>
      <c r="D279" s="78"/>
      <c r="E279" s="78"/>
      <c r="F279" s="78"/>
      <c r="G279" s="87"/>
      <c r="H279" s="87"/>
      <c r="I279" s="87"/>
    </row>
    <row r="280" spans="1:9" x14ac:dyDescent="0.4">
      <c r="A280" s="65" t="s">
        <v>0</v>
      </c>
      <c r="B280" s="66" t="s">
        <v>2</v>
      </c>
      <c r="C280" s="67" t="s">
        <v>1</v>
      </c>
      <c r="D280" s="67" t="s">
        <v>113</v>
      </c>
      <c r="E280" s="11" t="s">
        <v>69</v>
      </c>
      <c r="F280" s="65" t="s">
        <v>180</v>
      </c>
      <c r="G280" s="87"/>
      <c r="H280" s="87"/>
      <c r="I280" s="87"/>
    </row>
    <row r="281" spans="1:9" x14ac:dyDescent="0.4">
      <c r="A281" s="65" t="s">
        <v>3</v>
      </c>
      <c r="B281" s="70">
        <v>3.14</v>
      </c>
      <c r="C281" s="59">
        <v>7579.1</v>
      </c>
      <c r="D281" s="72">
        <f>C281/C283</f>
        <v>53.149368863955125</v>
      </c>
      <c r="E281" s="74">
        <f>(D282+0.0045)/0.0056</f>
        <v>1.48479763574434</v>
      </c>
      <c r="F281" s="97">
        <f>(C282/(C281+C282))</f>
        <v>7.1771180810074989E-5</v>
      </c>
      <c r="G281" s="87"/>
      <c r="H281" s="87"/>
      <c r="I281" s="87"/>
    </row>
    <row r="282" spans="1:9" x14ac:dyDescent="0.4">
      <c r="A282" s="65" t="s">
        <v>5</v>
      </c>
      <c r="B282" s="70">
        <v>4.83</v>
      </c>
      <c r="C282" s="59">
        <v>0.54400000000000004</v>
      </c>
      <c r="D282" s="31">
        <f>C282/C283</f>
        <v>3.8148667601683034E-3</v>
      </c>
      <c r="E282" s="74"/>
      <c r="F282" s="72"/>
      <c r="G282" s="87"/>
      <c r="H282" s="87"/>
      <c r="I282" s="87"/>
    </row>
    <row r="283" spans="1:9" ht="15" thickBot="1" x14ac:dyDescent="0.45">
      <c r="A283" s="65" t="s">
        <v>4</v>
      </c>
      <c r="B283" s="75">
        <v>6.2119999999999997</v>
      </c>
      <c r="C283" s="76">
        <v>142.6</v>
      </c>
      <c r="D283" s="76"/>
      <c r="E283" s="77"/>
      <c r="F283" s="100">
        <f>C283/(C281+C282+C283)</f>
        <v>1.8466134973202087E-2</v>
      </c>
      <c r="G283" s="87"/>
      <c r="H283" s="87"/>
      <c r="I283" s="87"/>
    </row>
    <row r="284" spans="1:9" ht="15" thickBot="1" x14ac:dyDescent="0.45">
      <c r="A284" s="1" t="s">
        <v>321</v>
      </c>
      <c r="B284" s="78"/>
      <c r="C284" s="78"/>
      <c r="D284" s="78"/>
      <c r="E284" s="78"/>
      <c r="F284" s="79"/>
      <c r="G284" s="87"/>
      <c r="H284" s="87"/>
      <c r="I284" s="87"/>
    </row>
    <row r="285" spans="1:9" x14ac:dyDescent="0.4">
      <c r="A285" t="s">
        <v>0</v>
      </c>
      <c r="B285" s="66" t="s">
        <v>2</v>
      </c>
      <c r="C285" s="67" t="s">
        <v>1</v>
      </c>
      <c r="D285" s="67" t="s">
        <v>113</v>
      </c>
      <c r="E285" s="11" t="s">
        <v>69</v>
      </c>
      <c r="F285" s="65" t="s">
        <v>180</v>
      </c>
      <c r="G285" s="21"/>
      <c r="H285" s="21"/>
      <c r="I285" s="21"/>
    </row>
    <row r="286" spans="1:9" x14ac:dyDescent="0.4">
      <c r="A286" t="s">
        <v>3</v>
      </c>
      <c r="B286" s="18">
        <v>3.1</v>
      </c>
      <c r="C286" s="59">
        <v>7346.7</v>
      </c>
      <c r="D286" s="8">
        <f>C286/C288</f>
        <v>52.664516129032258</v>
      </c>
      <c r="E286" s="74">
        <f>(D287+0.0045)/0.0056</f>
        <v>1.781554019457245</v>
      </c>
      <c r="F286" s="97">
        <f>(C287/(C286+C287))</f>
        <v>1.0398145537017942E-4</v>
      </c>
      <c r="G286" s="21"/>
      <c r="H286" s="21"/>
      <c r="I286" s="21"/>
    </row>
    <row r="287" spans="1:9" x14ac:dyDescent="0.4">
      <c r="A287" t="s">
        <v>5</v>
      </c>
      <c r="B287" s="18">
        <v>4.83</v>
      </c>
      <c r="C287" s="59">
        <v>0.76400000000000001</v>
      </c>
      <c r="D287" s="32">
        <f>C287/C288</f>
        <v>5.4767025089605733E-3</v>
      </c>
      <c r="E287" s="13"/>
      <c r="F287" s="72"/>
      <c r="G287" s="21"/>
      <c r="H287" s="21"/>
      <c r="I287" s="21"/>
    </row>
    <row r="288" spans="1:9" ht="15" thickBot="1" x14ac:dyDescent="0.45">
      <c r="A288" t="s">
        <v>4</v>
      </c>
      <c r="B288" s="20">
        <v>6.2119999999999997</v>
      </c>
      <c r="C288" s="16">
        <v>139.5</v>
      </c>
      <c r="D288" s="16"/>
      <c r="E288" s="24"/>
      <c r="F288" s="100">
        <f>C288/(C286+C287+C288)</f>
        <v>1.8632385570439499E-2</v>
      </c>
      <c r="G288" s="21"/>
      <c r="H288" s="21"/>
      <c r="I288" s="21"/>
    </row>
    <row r="289" spans="1:9" x14ac:dyDescent="0.4">
      <c r="A289" s="4" t="s">
        <v>186</v>
      </c>
      <c r="B289" s="4"/>
      <c r="C289" s="4"/>
      <c r="D289" s="4"/>
      <c r="E289" s="4"/>
      <c r="F289" s="4"/>
      <c r="G289" s="4"/>
      <c r="H289" s="4"/>
      <c r="I289" s="4"/>
    </row>
    <row r="290" spans="1:9" ht="15" thickBot="1" x14ac:dyDescent="0.45">
      <c r="A290" s="1" t="s">
        <v>322</v>
      </c>
      <c r="B290" s="1"/>
      <c r="C290" s="1"/>
      <c r="D290" s="1"/>
      <c r="E290" s="1"/>
      <c r="F290" s="1"/>
      <c r="G290" s="60"/>
      <c r="H290" s="60"/>
      <c r="I290" s="60"/>
    </row>
    <row r="291" spans="1:9" x14ac:dyDescent="0.4">
      <c r="A291" s="65" t="s">
        <v>0</v>
      </c>
      <c r="B291" s="66" t="s">
        <v>2</v>
      </c>
      <c r="C291" s="67" t="s">
        <v>1</v>
      </c>
      <c r="D291" s="67" t="s">
        <v>113</v>
      </c>
      <c r="E291" s="11" t="s">
        <v>69</v>
      </c>
      <c r="F291" s="65" t="s">
        <v>180</v>
      </c>
      <c r="G291" s="59"/>
      <c r="H291" s="59"/>
      <c r="I291" s="59"/>
    </row>
    <row r="292" spans="1:9" x14ac:dyDescent="0.4">
      <c r="A292" s="65" t="s">
        <v>3</v>
      </c>
      <c r="B292" s="70">
        <v>3.1</v>
      </c>
      <c r="C292" s="71">
        <v>8320.2000000000007</v>
      </c>
      <c r="D292" s="72">
        <f>C292/C294</f>
        <v>53.300448430493283</v>
      </c>
      <c r="E292" s="74">
        <f>(D293+0.0045)/0.0056</f>
        <v>1.8914729568957629</v>
      </c>
      <c r="F292" s="97">
        <f>(C293/(C292+C293))</f>
        <v>1.1428707398772117E-4</v>
      </c>
      <c r="G292" s="59"/>
      <c r="H292" s="59"/>
      <c r="I292" s="59"/>
    </row>
    <row r="293" spans="1:9" x14ac:dyDescent="0.4">
      <c r="A293" s="65" t="s">
        <v>5</v>
      </c>
      <c r="B293" s="70">
        <v>4.83</v>
      </c>
      <c r="C293" s="71">
        <v>0.95099999999999996</v>
      </c>
      <c r="D293" s="31">
        <f>C293/C294</f>
        <v>6.0922485586162719E-3</v>
      </c>
      <c r="E293" s="74"/>
      <c r="F293" s="72"/>
      <c r="G293" s="59"/>
      <c r="H293" s="59"/>
      <c r="I293" s="59"/>
    </row>
    <row r="294" spans="1:9" ht="15" thickBot="1" x14ac:dyDescent="0.45">
      <c r="A294" s="65" t="s">
        <v>4</v>
      </c>
      <c r="B294" s="75">
        <v>6.2119999999999997</v>
      </c>
      <c r="C294" s="76">
        <v>156.1</v>
      </c>
      <c r="D294" s="76"/>
      <c r="E294" s="77"/>
      <c r="F294" s="100">
        <f>C294/(C292+C293+C294)</f>
        <v>1.8413988213867916E-2</v>
      </c>
      <c r="G294" s="59"/>
      <c r="H294" s="59"/>
      <c r="I294" s="59"/>
    </row>
    <row r="295" spans="1:9" ht="15" thickBot="1" x14ac:dyDescent="0.45">
      <c r="A295" s="1" t="s">
        <v>323</v>
      </c>
      <c r="B295" s="78"/>
      <c r="C295" s="78"/>
      <c r="D295" s="78"/>
      <c r="E295" s="78"/>
      <c r="F295" s="78"/>
      <c r="G295" s="87"/>
      <c r="H295" s="87"/>
      <c r="I295" s="87"/>
    </row>
    <row r="296" spans="1:9" x14ac:dyDescent="0.4">
      <c r="A296" s="65" t="s">
        <v>0</v>
      </c>
      <c r="B296" s="66" t="s">
        <v>2</v>
      </c>
      <c r="C296" s="67" t="s">
        <v>1</v>
      </c>
      <c r="D296" s="67" t="s">
        <v>113</v>
      </c>
      <c r="E296" s="11" t="s">
        <v>69</v>
      </c>
      <c r="F296" s="65" t="s">
        <v>180</v>
      </c>
      <c r="G296" s="87"/>
      <c r="H296" s="87"/>
      <c r="I296" s="87"/>
    </row>
    <row r="297" spans="1:9" x14ac:dyDescent="0.4">
      <c r="A297" s="65" t="s">
        <v>3</v>
      </c>
      <c r="B297" s="70">
        <v>3.14</v>
      </c>
      <c r="C297" s="59">
        <v>7211.5</v>
      </c>
      <c r="D297" s="72">
        <f>C297/C299</f>
        <v>52.792825768667647</v>
      </c>
      <c r="E297" s="74">
        <f>(D298+0.0045)/0.0056</f>
        <v>2.4507163773269189</v>
      </c>
      <c r="F297" s="97">
        <f>(C298/(C297+C298))</f>
        <v>1.7469040977378979E-4</v>
      </c>
      <c r="G297" s="87"/>
      <c r="H297" s="87"/>
      <c r="I297" s="87"/>
    </row>
    <row r="298" spans="1:9" x14ac:dyDescent="0.4">
      <c r="A298" s="65" t="s">
        <v>5</v>
      </c>
      <c r="B298" s="70">
        <v>4.83</v>
      </c>
      <c r="C298" s="59">
        <v>1.26</v>
      </c>
      <c r="D298" s="31">
        <f>C298/C299</f>
        <v>9.224011713030748E-3</v>
      </c>
      <c r="E298" s="74"/>
      <c r="F298" s="72"/>
      <c r="G298" s="87"/>
      <c r="H298" s="87"/>
      <c r="I298" s="87"/>
    </row>
    <row r="299" spans="1:9" ht="15" thickBot="1" x14ac:dyDescent="0.45">
      <c r="A299" s="65" t="s">
        <v>4</v>
      </c>
      <c r="B299" s="75">
        <v>6.2119999999999997</v>
      </c>
      <c r="C299" s="76">
        <v>136.6</v>
      </c>
      <c r="D299" s="76"/>
      <c r="E299" s="77"/>
      <c r="F299" s="100">
        <f>C299/(C297+C298+C299)</f>
        <v>1.8586652443205936E-2</v>
      </c>
      <c r="G299" s="87"/>
      <c r="H299" s="87"/>
      <c r="I299" s="87"/>
    </row>
    <row r="300" spans="1:9" ht="15" thickBot="1" x14ac:dyDescent="0.45">
      <c r="A300" s="1" t="s">
        <v>324</v>
      </c>
      <c r="B300" s="78"/>
      <c r="C300" s="78"/>
      <c r="D300" s="78"/>
      <c r="E300" s="78"/>
      <c r="F300" s="79"/>
      <c r="G300" s="87"/>
      <c r="H300" s="87"/>
      <c r="I300" s="87"/>
    </row>
    <row r="301" spans="1:9" x14ac:dyDescent="0.4">
      <c r="A301" t="s">
        <v>0</v>
      </c>
      <c r="B301" s="66" t="s">
        <v>2</v>
      </c>
      <c r="C301" s="67" t="s">
        <v>1</v>
      </c>
      <c r="D301" s="67" t="s">
        <v>113</v>
      </c>
      <c r="E301" s="11" t="s">
        <v>69</v>
      </c>
      <c r="F301" s="65" t="s">
        <v>180</v>
      </c>
      <c r="G301" s="21"/>
      <c r="H301" s="21"/>
      <c r="I301" s="21"/>
    </row>
    <row r="302" spans="1:9" x14ac:dyDescent="0.4">
      <c r="A302" t="s">
        <v>3</v>
      </c>
      <c r="B302" s="18">
        <v>3.1</v>
      </c>
      <c r="C302" s="59">
        <v>7854.9</v>
      </c>
      <c r="D302" s="8">
        <f>C302/C304</f>
        <v>52.366</v>
      </c>
      <c r="E302" s="74">
        <f>(D303+0.0045)/0.0056</f>
        <v>3.9821428571428572</v>
      </c>
      <c r="F302" s="97">
        <f>(C303/(C302+C303))</f>
        <v>3.3979970907036146E-4</v>
      </c>
      <c r="G302" s="21"/>
      <c r="H302" s="21"/>
      <c r="I302" s="21"/>
    </row>
    <row r="303" spans="1:9" x14ac:dyDescent="0.4">
      <c r="A303" t="s">
        <v>5</v>
      </c>
      <c r="B303" s="18">
        <v>4.83</v>
      </c>
      <c r="C303" s="59">
        <v>2.67</v>
      </c>
      <c r="D303" s="32">
        <f>C303/C304</f>
        <v>1.78E-2</v>
      </c>
      <c r="E303" s="13"/>
      <c r="F303" s="72"/>
      <c r="G303" s="21"/>
      <c r="H303" s="21"/>
      <c r="I303" s="21"/>
    </row>
    <row r="304" spans="1:9" ht="15" thickBot="1" x14ac:dyDescent="0.45">
      <c r="A304" t="s">
        <v>4</v>
      </c>
      <c r="B304" s="20">
        <v>6.2119999999999997</v>
      </c>
      <c r="C304" s="16">
        <v>150</v>
      </c>
      <c r="D304" s="16"/>
      <c r="E304" s="24"/>
      <c r="F304" s="100">
        <f>C304/(C302+C303+C304)</f>
        <v>1.8732274585173781E-2</v>
      </c>
      <c r="G304" s="21"/>
      <c r="H304" s="21"/>
      <c r="I304" s="21"/>
    </row>
    <row r="305" spans="1:9" x14ac:dyDescent="0.4">
      <c r="A305" s="4" t="s">
        <v>186</v>
      </c>
      <c r="B305" s="4"/>
      <c r="C305" s="4"/>
      <c r="D305" s="4"/>
      <c r="E305" s="4"/>
      <c r="F305" s="4"/>
      <c r="G305" s="4"/>
      <c r="H305" s="4"/>
      <c r="I305" s="4"/>
    </row>
    <row r="306" spans="1:9" ht="15" thickBot="1" x14ac:dyDescent="0.45">
      <c r="A306" s="1" t="s">
        <v>325</v>
      </c>
      <c r="B306" s="1"/>
      <c r="C306" s="1"/>
      <c r="D306" s="1"/>
      <c r="E306" s="1"/>
      <c r="F306" s="1"/>
      <c r="G306" s="60"/>
      <c r="H306" s="60"/>
      <c r="I306" s="60"/>
    </row>
    <row r="307" spans="1:9" x14ac:dyDescent="0.4">
      <c r="A307" s="65" t="s">
        <v>0</v>
      </c>
      <c r="B307" s="66" t="s">
        <v>2</v>
      </c>
      <c r="C307" s="67" t="s">
        <v>1</v>
      </c>
      <c r="D307" s="67" t="s">
        <v>113</v>
      </c>
      <c r="E307" s="11" t="s">
        <v>69</v>
      </c>
      <c r="F307" s="65" t="s">
        <v>180</v>
      </c>
      <c r="G307" s="59"/>
      <c r="H307" s="59"/>
      <c r="I307" s="59"/>
    </row>
    <row r="308" spans="1:9" x14ac:dyDescent="0.4">
      <c r="A308" s="65" t="s">
        <v>3</v>
      </c>
      <c r="B308" s="70">
        <v>3.1</v>
      </c>
      <c r="C308" s="71">
        <v>8267.9</v>
      </c>
      <c r="D308" s="72">
        <f>C308/C310</f>
        <v>52.897632757517592</v>
      </c>
      <c r="E308" s="74">
        <f>(D309+0.0045)/0.0056</f>
        <v>1.6090279681930353</v>
      </c>
      <c r="F308" s="97">
        <f>(C309/(C308+C309))</f>
        <v>8.5262266125906371E-5</v>
      </c>
      <c r="G308" s="59"/>
      <c r="H308" s="59"/>
      <c r="I308" s="59"/>
    </row>
    <row r="309" spans="1:9" x14ac:dyDescent="0.4">
      <c r="A309" s="65" t="s">
        <v>5</v>
      </c>
      <c r="B309" s="70">
        <v>4.83</v>
      </c>
      <c r="C309" s="71">
        <v>0.70499999999999996</v>
      </c>
      <c r="D309" s="31">
        <f>C309/C310</f>
        <v>4.5105566218809979E-3</v>
      </c>
      <c r="E309" s="74"/>
      <c r="F309" s="72"/>
      <c r="G309" s="59"/>
      <c r="H309" s="59"/>
      <c r="I309" s="59"/>
    </row>
    <row r="310" spans="1:9" ht="15" thickBot="1" x14ac:dyDescent="0.45">
      <c r="A310" s="65" t="s">
        <v>4</v>
      </c>
      <c r="B310" s="75">
        <v>6.2119999999999997</v>
      </c>
      <c r="C310" s="76">
        <v>156.30000000000001</v>
      </c>
      <c r="D310" s="76"/>
      <c r="E310" s="77"/>
      <c r="F310" s="100">
        <f>C310/(C308+C309+C310)</f>
        <v>1.8552137976630006E-2</v>
      </c>
      <c r="G310" s="59"/>
      <c r="H310" s="59"/>
      <c r="I310" s="59"/>
    </row>
    <row r="311" spans="1:9" ht="15" thickBot="1" x14ac:dyDescent="0.45">
      <c r="A311" s="1" t="s">
        <v>326</v>
      </c>
      <c r="B311" s="78"/>
      <c r="C311" s="78"/>
      <c r="D311" s="78"/>
      <c r="E311" s="78"/>
      <c r="F311" s="78"/>
      <c r="G311" s="87"/>
      <c r="H311" s="87"/>
      <c r="I311" s="87"/>
    </row>
    <row r="312" spans="1:9" x14ac:dyDescent="0.4">
      <c r="A312" s="65" t="s">
        <v>0</v>
      </c>
      <c r="B312" s="66" t="s">
        <v>2</v>
      </c>
      <c r="C312" s="67" t="s">
        <v>1</v>
      </c>
      <c r="D312" s="67" t="s">
        <v>113</v>
      </c>
      <c r="E312" s="11" t="s">
        <v>69</v>
      </c>
      <c r="F312" s="65" t="s">
        <v>180</v>
      </c>
      <c r="G312" s="87"/>
      <c r="H312" s="87"/>
      <c r="I312" s="87"/>
    </row>
    <row r="313" spans="1:9" x14ac:dyDescent="0.4">
      <c r="A313" s="65" t="s">
        <v>3</v>
      </c>
      <c r="B313" s="70">
        <v>3.14</v>
      </c>
      <c r="C313" s="59">
        <v>7647.4</v>
      </c>
      <c r="D313" s="72">
        <f>C313/C315</f>
        <v>52.850034554250172</v>
      </c>
      <c r="E313" s="74">
        <f>(D314+0.0045)/0.0056</f>
        <v>1.925350478823181</v>
      </c>
      <c r="F313" s="97">
        <f>(C314/(C313+C314))</f>
        <v>1.1884980065528212E-4</v>
      </c>
      <c r="G313" s="87"/>
      <c r="H313" s="87"/>
      <c r="I313" s="87"/>
    </row>
    <row r="314" spans="1:9" x14ac:dyDescent="0.4">
      <c r="A314" s="65" t="s">
        <v>5</v>
      </c>
      <c r="B314" s="70">
        <v>4.83</v>
      </c>
      <c r="C314" s="59">
        <v>0.90900000000000003</v>
      </c>
      <c r="D314" s="31">
        <f>C314/C315</f>
        <v>6.2819626814098143E-3</v>
      </c>
      <c r="E314" s="74"/>
      <c r="F314" s="72"/>
      <c r="G314" s="87"/>
      <c r="H314" s="87"/>
      <c r="I314" s="87"/>
    </row>
    <row r="315" spans="1:9" ht="15" thickBot="1" x14ac:dyDescent="0.45">
      <c r="A315" s="65" t="s">
        <v>4</v>
      </c>
      <c r="B315" s="75">
        <v>6.2119999999999997</v>
      </c>
      <c r="C315" s="76">
        <v>144.69999999999999</v>
      </c>
      <c r="D315" s="76"/>
      <c r="E315" s="77"/>
      <c r="F315" s="100">
        <f>C315/(C313+C314+C315)</f>
        <v>1.8567924148425851E-2</v>
      </c>
      <c r="G315" s="87"/>
      <c r="H315" s="87"/>
      <c r="I315" s="87"/>
    </row>
    <row r="316" spans="1:9" ht="15" thickBot="1" x14ac:dyDescent="0.45">
      <c r="A316" s="1" t="s">
        <v>327</v>
      </c>
      <c r="B316" s="78"/>
      <c r="C316" s="78"/>
      <c r="D316" s="78"/>
      <c r="E316" s="78"/>
      <c r="F316" s="79"/>
      <c r="G316" s="87"/>
      <c r="H316" s="87"/>
      <c r="I316" s="87"/>
    </row>
    <row r="317" spans="1:9" x14ac:dyDescent="0.4">
      <c r="A317" t="s">
        <v>0</v>
      </c>
      <c r="B317" s="66" t="s">
        <v>2</v>
      </c>
      <c r="C317" s="67" t="s">
        <v>1</v>
      </c>
      <c r="D317" s="67" t="s">
        <v>113</v>
      </c>
      <c r="E317" s="11" t="s">
        <v>69</v>
      </c>
      <c r="F317" s="65" t="s">
        <v>180</v>
      </c>
      <c r="G317" s="21"/>
      <c r="H317" s="21"/>
      <c r="I317" s="21"/>
    </row>
    <row r="318" spans="1:9" x14ac:dyDescent="0.4">
      <c r="A318" t="s">
        <v>3</v>
      </c>
      <c r="B318" s="18">
        <v>3.1</v>
      </c>
      <c r="C318" s="59">
        <v>7880.5</v>
      </c>
      <c r="D318" s="8">
        <f>C318/C320</f>
        <v>52.396941489361701</v>
      </c>
      <c r="E318" s="74">
        <f>(D319+0.0045)/0.0056</f>
        <v>2.6795212765957444</v>
      </c>
      <c r="F318" s="97">
        <f>(C319/(C318+C319))</f>
        <v>2.0045470231208008E-4</v>
      </c>
      <c r="G318" s="21"/>
      <c r="H318" s="21"/>
      <c r="I318" s="21"/>
    </row>
    <row r="319" spans="1:9" x14ac:dyDescent="0.4">
      <c r="A319" t="s">
        <v>5</v>
      </c>
      <c r="B319" s="18">
        <v>4.83</v>
      </c>
      <c r="C319" s="59">
        <v>1.58</v>
      </c>
      <c r="D319" s="32">
        <f>C319/C320</f>
        <v>1.050531914893617E-2</v>
      </c>
      <c r="E319" s="13"/>
      <c r="F319" s="72"/>
      <c r="G319" s="21"/>
      <c r="H319" s="21"/>
      <c r="I319" s="21"/>
    </row>
    <row r="320" spans="1:9" ht="15" thickBot="1" x14ac:dyDescent="0.45">
      <c r="A320" t="s">
        <v>4</v>
      </c>
      <c r="B320" s="20">
        <v>6.2119999999999997</v>
      </c>
      <c r="C320" s="16">
        <v>150.4</v>
      </c>
      <c r="D320" s="16"/>
      <c r="E320" s="24"/>
      <c r="F320" s="100">
        <f>C320/(C318+C319+C320)</f>
        <v>1.8723980638607255E-2</v>
      </c>
      <c r="G320" s="21"/>
      <c r="H320" s="21"/>
      <c r="I320" s="21"/>
    </row>
    <row r="321" spans="1:9" x14ac:dyDescent="0.4">
      <c r="A321" s="4" t="s">
        <v>186</v>
      </c>
      <c r="B321" s="4"/>
      <c r="C321" s="4"/>
      <c r="D321" s="4"/>
      <c r="E321" s="4"/>
      <c r="F321" s="4"/>
      <c r="G321" s="4"/>
      <c r="H321" s="4"/>
      <c r="I321" s="4"/>
    </row>
    <row r="322" spans="1:9" ht="15" thickBot="1" x14ac:dyDescent="0.45">
      <c r="A322" s="1" t="s">
        <v>316</v>
      </c>
      <c r="B322" s="1"/>
      <c r="C322" s="1"/>
      <c r="D322" s="1"/>
      <c r="E322" s="1"/>
      <c r="F322" s="1"/>
      <c r="G322" s="60"/>
      <c r="H322" s="60"/>
      <c r="I322" s="60"/>
    </row>
    <row r="323" spans="1:9" x14ac:dyDescent="0.4">
      <c r="A323" s="65" t="s">
        <v>0</v>
      </c>
      <c r="B323" s="66" t="s">
        <v>2</v>
      </c>
      <c r="C323" s="67" t="s">
        <v>1</v>
      </c>
      <c r="D323" s="67" t="s">
        <v>113</v>
      </c>
      <c r="E323" s="11" t="s">
        <v>69</v>
      </c>
      <c r="F323" s="65" t="s">
        <v>180</v>
      </c>
      <c r="G323" s="59"/>
      <c r="H323" s="59"/>
      <c r="I323" s="59"/>
    </row>
    <row r="324" spans="1:9" x14ac:dyDescent="0.4">
      <c r="A324" s="65" t="s">
        <v>3</v>
      </c>
      <c r="B324" s="70">
        <v>3.1</v>
      </c>
      <c r="C324" s="71">
        <v>7425.3</v>
      </c>
      <c r="D324" s="72">
        <f>C324/C326</f>
        <v>53.534967555875994</v>
      </c>
      <c r="E324" s="74">
        <f>(D325+0.0045)/0.0056</f>
        <v>1.4730533525594811</v>
      </c>
      <c r="F324" s="97">
        <f>(C325/(C324+C325))</f>
        <v>7.0025936529568449E-5</v>
      </c>
      <c r="G324" s="59"/>
      <c r="H324" s="59"/>
      <c r="I324" s="59"/>
    </row>
    <row r="325" spans="1:9" x14ac:dyDescent="0.4">
      <c r="A325" s="65" t="s">
        <v>5</v>
      </c>
      <c r="B325" s="70">
        <v>4.83</v>
      </c>
      <c r="C325" s="71">
        <v>0.52</v>
      </c>
      <c r="D325" s="31">
        <f>C325/C326</f>
        <v>3.7490987743330935E-3</v>
      </c>
      <c r="E325" s="74"/>
      <c r="F325" s="72"/>
      <c r="G325" s="59"/>
      <c r="H325" s="59"/>
      <c r="I325" s="59"/>
    </row>
    <row r="326" spans="1:9" ht="15" thickBot="1" x14ac:dyDescent="0.45">
      <c r="A326" s="65" t="s">
        <v>4</v>
      </c>
      <c r="B326" s="75">
        <v>6.2119999999999997</v>
      </c>
      <c r="C326" s="76">
        <v>138.69999999999999</v>
      </c>
      <c r="D326" s="76"/>
      <c r="E326" s="77"/>
      <c r="F326" s="100">
        <f>C326/(C324+C325+C326)</f>
        <v>1.8335598293084027E-2</v>
      </c>
      <c r="G326" s="59"/>
      <c r="H326" s="59"/>
      <c r="I326" s="59"/>
    </row>
    <row r="327" spans="1:9" ht="15" thickBot="1" x14ac:dyDescent="0.45">
      <c r="A327" s="1" t="s">
        <v>317</v>
      </c>
      <c r="B327" s="78"/>
      <c r="C327" s="78"/>
      <c r="D327" s="78"/>
      <c r="E327" s="78"/>
      <c r="F327" s="78"/>
      <c r="G327" s="87"/>
      <c r="H327" s="87"/>
      <c r="I327" s="87"/>
    </row>
    <row r="328" spans="1:9" x14ac:dyDescent="0.4">
      <c r="A328" s="65" t="s">
        <v>0</v>
      </c>
      <c r="B328" s="66" t="s">
        <v>2</v>
      </c>
      <c r="C328" s="67" t="s">
        <v>1</v>
      </c>
      <c r="D328" s="67" t="s">
        <v>113</v>
      </c>
      <c r="E328" s="11" t="s">
        <v>69</v>
      </c>
      <c r="F328" s="65" t="s">
        <v>180</v>
      </c>
      <c r="G328" s="87"/>
      <c r="H328" s="87"/>
      <c r="I328" s="87"/>
    </row>
    <row r="329" spans="1:9" x14ac:dyDescent="0.4">
      <c r="A329" s="65" t="s">
        <v>3</v>
      </c>
      <c r="B329" s="70">
        <v>3.14</v>
      </c>
      <c r="C329" s="59">
        <v>7914.6</v>
      </c>
      <c r="D329" s="72">
        <f>C329/C331</f>
        <v>52.975903614457835</v>
      </c>
      <c r="E329" s="74">
        <f>(D330+0.0045)/0.0056</f>
        <v>1.8243210938994072</v>
      </c>
      <c r="F329" s="97">
        <f>(C330/(C329+C330))</f>
        <v>1.0789021071943566E-4</v>
      </c>
      <c r="G329" s="87"/>
      <c r="H329" s="87"/>
      <c r="I329" s="87"/>
    </row>
    <row r="330" spans="1:9" x14ac:dyDescent="0.4">
      <c r="A330" s="65" t="s">
        <v>5</v>
      </c>
      <c r="B330" s="70">
        <v>4.83</v>
      </c>
      <c r="C330" s="59">
        <v>0.85399999999999998</v>
      </c>
      <c r="D330" s="31">
        <f>C330/C331</f>
        <v>5.7161981258366801E-3</v>
      </c>
      <c r="E330" s="74"/>
      <c r="F330" s="72"/>
      <c r="G330" s="87"/>
      <c r="H330" s="87"/>
      <c r="I330" s="87"/>
    </row>
    <row r="331" spans="1:9" ht="15" thickBot="1" x14ac:dyDescent="0.45">
      <c r="A331" s="65" t="s">
        <v>4</v>
      </c>
      <c r="B331" s="75">
        <v>6.2119999999999997</v>
      </c>
      <c r="C331" s="76">
        <v>149.4</v>
      </c>
      <c r="D331" s="76"/>
      <c r="E331" s="77"/>
      <c r="F331" s="100">
        <f>C331/(C329+C330+C331)</f>
        <v>1.8524823883978556E-2</v>
      </c>
      <c r="G331" s="87"/>
      <c r="H331" s="87"/>
      <c r="I331" s="87"/>
    </row>
    <row r="332" spans="1:9" ht="15" thickBot="1" x14ac:dyDescent="0.45">
      <c r="A332" s="1" t="s">
        <v>318</v>
      </c>
      <c r="B332" s="78"/>
      <c r="C332" s="78"/>
      <c r="D332" s="78"/>
      <c r="E332" s="78"/>
      <c r="F332" s="79"/>
      <c r="G332" s="87"/>
      <c r="H332" s="87"/>
      <c r="I332" s="87"/>
    </row>
    <row r="333" spans="1:9" x14ac:dyDescent="0.4">
      <c r="A333" t="s">
        <v>0</v>
      </c>
      <c r="B333" s="66" t="s">
        <v>2</v>
      </c>
      <c r="C333" s="67" t="s">
        <v>1</v>
      </c>
      <c r="D333" s="67" t="s">
        <v>113</v>
      </c>
      <c r="E333" s="11" t="s">
        <v>69</v>
      </c>
      <c r="F333" s="65" t="s">
        <v>180</v>
      </c>
      <c r="G333" s="21"/>
      <c r="H333" s="21"/>
      <c r="I333" s="21"/>
    </row>
    <row r="334" spans="1:9" x14ac:dyDescent="0.4">
      <c r="A334" t="s">
        <v>3</v>
      </c>
      <c r="B334" s="18">
        <v>3.1</v>
      </c>
      <c r="C334" s="59">
        <v>7673.8</v>
      </c>
      <c r="D334" s="8">
        <f>C334/C336</f>
        <v>53.032480995162409</v>
      </c>
      <c r="E334" s="74">
        <f>(D335+0.0045)/0.0056</f>
        <v>2.5806471517425216</v>
      </c>
      <c r="F334" s="97">
        <f>(C335/(C334+C335))</f>
        <v>1.876162830087398E-4</v>
      </c>
      <c r="G334" s="21"/>
      <c r="H334" s="21"/>
      <c r="I334" s="21"/>
    </row>
    <row r="335" spans="1:9" x14ac:dyDescent="0.4">
      <c r="A335" t="s">
        <v>5</v>
      </c>
      <c r="B335" s="18">
        <v>4.83</v>
      </c>
      <c r="C335" s="59">
        <v>1.44</v>
      </c>
      <c r="D335" s="32">
        <f>C335/C336</f>
        <v>9.9516240497581204E-3</v>
      </c>
      <c r="E335" s="13"/>
      <c r="F335" s="72"/>
      <c r="G335" s="21"/>
      <c r="H335" s="21"/>
      <c r="I335" s="21"/>
    </row>
    <row r="336" spans="1:9" ht="15" thickBot="1" x14ac:dyDescent="0.45">
      <c r="A336" t="s">
        <v>4</v>
      </c>
      <c r="B336" s="20">
        <v>6.2119999999999997</v>
      </c>
      <c r="C336" s="16">
        <v>144.69999999999999</v>
      </c>
      <c r="D336" s="16"/>
      <c r="E336" s="24"/>
      <c r="F336" s="100">
        <f>C336/(C334+C335+C336)</f>
        <v>1.8503978291393539E-2</v>
      </c>
      <c r="G336" s="21"/>
      <c r="H336" s="21"/>
      <c r="I336" s="21"/>
    </row>
    <row r="337" spans="1:9" x14ac:dyDescent="0.4">
      <c r="A337" s="4" t="s">
        <v>186</v>
      </c>
      <c r="B337" s="4"/>
      <c r="C337" s="4"/>
      <c r="D337" s="4"/>
      <c r="E337" s="4"/>
      <c r="F337" s="4"/>
      <c r="G337" s="4"/>
      <c r="H337" s="4"/>
      <c r="I337" s="4"/>
    </row>
    <row r="338" spans="1:9" ht="15" thickBot="1" x14ac:dyDescent="0.45">
      <c r="A338" s="1" t="s">
        <v>328</v>
      </c>
      <c r="B338" s="1"/>
      <c r="C338" s="1"/>
      <c r="D338" s="1"/>
      <c r="E338" s="1"/>
      <c r="F338" s="1"/>
      <c r="G338" s="60"/>
      <c r="H338" s="60"/>
      <c r="I338" s="60"/>
    </row>
    <row r="339" spans="1:9" x14ac:dyDescent="0.4">
      <c r="A339" s="65" t="s">
        <v>0</v>
      </c>
      <c r="B339" s="66" t="s">
        <v>2</v>
      </c>
      <c r="C339" s="67" t="s">
        <v>1</v>
      </c>
      <c r="D339" s="67" t="s">
        <v>113</v>
      </c>
      <c r="E339" s="11" t="s">
        <v>69</v>
      </c>
      <c r="F339" s="65" t="s">
        <v>180</v>
      </c>
      <c r="G339" s="59"/>
      <c r="H339" s="59"/>
      <c r="I339" s="59"/>
    </row>
    <row r="340" spans="1:9" x14ac:dyDescent="0.4">
      <c r="A340" s="65" t="s">
        <v>3</v>
      </c>
      <c r="B340" s="70">
        <v>3.1</v>
      </c>
      <c r="C340" s="71">
        <v>7593.1</v>
      </c>
      <c r="D340" s="72">
        <f>C340/C342</f>
        <v>53.397327707454295</v>
      </c>
      <c r="E340" s="74">
        <f>(D341+0.0045)/0.0056</f>
        <v>1.3385322483423749</v>
      </c>
      <c r="F340" s="97">
        <f>(C341/(C340+C341))</f>
        <v>5.6100420279064028E-5</v>
      </c>
      <c r="G340" s="59"/>
      <c r="H340" s="59"/>
      <c r="I340" s="59"/>
    </row>
    <row r="341" spans="1:9" x14ac:dyDescent="0.4">
      <c r="A341" s="65" t="s">
        <v>5</v>
      </c>
      <c r="B341" s="70">
        <v>4.83</v>
      </c>
      <c r="C341" s="71">
        <v>0.42599999999999999</v>
      </c>
      <c r="D341" s="31">
        <f>C341/C342</f>
        <v>2.9957805907172997E-3</v>
      </c>
      <c r="E341" s="74"/>
      <c r="F341" s="72"/>
      <c r="G341" s="59"/>
      <c r="H341" s="59"/>
      <c r="I341" s="59"/>
    </row>
    <row r="342" spans="1:9" ht="15" thickBot="1" x14ac:dyDescent="0.45">
      <c r="A342" s="65" t="s">
        <v>4</v>
      </c>
      <c r="B342" s="75">
        <v>6.2119999999999997</v>
      </c>
      <c r="C342" s="76">
        <v>142.19999999999999</v>
      </c>
      <c r="D342" s="76"/>
      <c r="E342" s="77"/>
      <c r="F342" s="100">
        <f>C342/(C340+C341+C342)</f>
        <v>1.8382243631690158E-2</v>
      </c>
      <c r="G342" s="59"/>
      <c r="H342" s="59"/>
      <c r="I342" s="59"/>
    </row>
    <row r="343" spans="1:9" ht="15" thickBot="1" x14ac:dyDescent="0.45">
      <c r="A343" s="1" t="s">
        <v>329</v>
      </c>
      <c r="B343" s="78"/>
      <c r="C343" s="78"/>
      <c r="D343" s="78"/>
      <c r="E343" s="78"/>
      <c r="F343" s="78"/>
      <c r="G343" s="87"/>
      <c r="H343" s="87"/>
      <c r="I343" s="87"/>
    </row>
    <row r="344" spans="1:9" x14ac:dyDescent="0.4">
      <c r="A344" s="65" t="s">
        <v>0</v>
      </c>
      <c r="B344" s="66" t="s">
        <v>2</v>
      </c>
      <c r="C344" s="67" t="s">
        <v>1</v>
      </c>
      <c r="D344" s="67" t="s">
        <v>113</v>
      </c>
      <c r="E344" s="11" t="s">
        <v>69</v>
      </c>
      <c r="F344" s="65" t="s">
        <v>180</v>
      </c>
      <c r="G344" s="87"/>
      <c r="H344" s="87"/>
      <c r="I344" s="87"/>
    </row>
    <row r="345" spans="1:9" x14ac:dyDescent="0.4">
      <c r="A345" s="65" t="s">
        <v>3</v>
      </c>
      <c r="B345" s="70">
        <v>3.14</v>
      </c>
      <c r="C345" s="59">
        <v>8352.6</v>
      </c>
      <c r="D345" s="72">
        <f>C345/C347</f>
        <v>52.898036732108928</v>
      </c>
      <c r="E345" s="74">
        <f>(D346+0.0045)/0.0056</f>
        <v>1.6370555505292677</v>
      </c>
      <c r="F345" s="97">
        <f>(C346/(C345+C346))</f>
        <v>8.822821346726464E-5</v>
      </c>
      <c r="G345" s="87"/>
      <c r="H345" s="87"/>
      <c r="I345" s="87"/>
    </row>
    <row r="346" spans="1:9" x14ac:dyDescent="0.4">
      <c r="A346" s="65" t="s">
        <v>5</v>
      </c>
      <c r="B346" s="70">
        <v>4.83</v>
      </c>
      <c r="C346" s="59">
        <v>0.73699999999999999</v>
      </c>
      <c r="D346" s="31">
        <f>C346/C347</f>
        <v>4.6675110829639006E-3</v>
      </c>
      <c r="E346" s="74"/>
      <c r="F346" s="72"/>
      <c r="G346" s="87"/>
      <c r="H346" s="87"/>
      <c r="I346" s="87"/>
    </row>
    <row r="347" spans="1:9" ht="15" thickBot="1" x14ac:dyDescent="0.45">
      <c r="A347" s="65" t="s">
        <v>4</v>
      </c>
      <c r="B347" s="75">
        <v>6.2119999999999997</v>
      </c>
      <c r="C347" s="76">
        <v>157.9</v>
      </c>
      <c r="D347" s="76"/>
      <c r="E347" s="77"/>
      <c r="F347" s="100">
        <f>C347/(C345+C346+C347)</f>
        <v>1.855194491705495E-2</v>
      </c>
      <c r="G347" s="87"/>
      <c r="H347" s="87"/>
      <c r="I347" s="87"/>
    </row>
    <row r="348" spans="1:9" ht="15" thickBot="1" x14ac:dyDescent="0.45">
      <c r="A348" s="1" t="s">
        <v>330</v>
      </c>
      <c r="B348" s="78"/>
      <c r="C348" s="78"/>
      <c r="D348" s="78"/>
      <c r="E348" s="78"/>
      <c r="F348" s="79"/>
      <c r="G348" s="87"/>
      <c r="H348" s="87"/>
      <c r="I348" s="87"/>
    </row>
    <row r="349" spans="1:9" x14ac:dyDescent="0.4">
      <c r="A349" t="s">
        <v>0</v>
      </c>
      <c r="B349" s="66" t="s">
        <v>2</v>
      </c>
      <c r="C349" s="67" t="s">
        <v>1</v>
      </c>
      <c r="D349" s="67" t="s">
        <v>113</v>
      </c>
      <c r="E349" s="11" t="s">
        <v>69</v>
      </c>
      <c r="F349" s="65" t="s">
        <v>180</v>
      </c>
      <c r="G349" s="21"/>
      <c r="H349" s="21"/>
      <c r="I349" s="21"/>
    </row>
    <row r="350" spans="1:9" x14ac:dyDescent="0.4">
      <c r="A350" t="s">
        <v>3</v>
      </c>
      <c r="B350" s="18">
        <v>3.1</v>
      </c>
      <c r="C350" s="59">
        <v>7329.2</v>
      </c>
      <c r="D350" s="8">
        <f>C350/C352</f>
        <v>52.72805755395683</v>
      </c>
      <c r="E350" s="74">
        <f>(D351+0.0045)/0.0056</f>
        <v>1.9276721479958889</v>
      </c>
      <c r="F350" s="97">
        <f>(C351/(C350+C351))</f>
        <v>1.1937122062188996E-4</v>
      </c>
      <c r="G350" s="21"/>
      <c r="H350" s="21"/>
      <c r="I350" s="21"/>
    </row>
    <row r="351" spans="1:9" x14ac:dyDescent="0.4">
      <c r="A351" t="s">
        <v>5</v>
      </c>
      <c r="B351" s="18">
        <v>4.83</v>
      </c>
      <c r="C351" s="59">
        <v>0.875</v>
      </c>
      <c r="D351" s="32">
        <f>C351/C352</f>
        <v>6.2949640287769783E-3</v>
      </c>
      <c r="E351" s="13"/>
      <c r="F351" s="72"/>
      <c r="G351" s="21"/>
      <c r="H351" s="21"/>
      <c r="I351" s="21"/>
    </row>
    <row r="352" spans="1:9" ht="15" thickBot="1" x14ac:dyDescent="0.45">
      <c r="A352" t="s">
        <v>4</v>
      </c>
      <c r="B352" s="20">
        <v>6.2119999999999997</v>
      </c>
      <c r="C352" s="16">
        <v>139</v>
      </c>
      <c r="D352" s="16"/>
      <c r="E352" s="24"/>
      <c r="F352" s="100">
        <f>C352/(C350+C351+C352)</f>
        <v>1.8610068850560477E-2</v>
      </c>
      <c r="G352" s="21"/>
      <c r="H352" s="21"/>
      <c r="I352" s="21"/>
    </row>
    <row r="353" spans="1:9" x14ac:dyDescent="0.4">
      <c r="A353" s="4" t="s">
        <v>186</v>
      </c>
      <c r="B353" s="4"/>
      <c r="C353" s="4"/>
      <c r="D353" s="4"/>
      <c r="E353" s="4"/>
      <c r="F353" s="4"/>
      <c r="G353" s="4"/>
      <c r="H353" s="4"/>
      <c r="I353" s="4"/>
    </row>
    <row r="354" spans="1:9" ht="15" thickBot="1" x14ac:dyDescent="0.45">
      <c r="A354" s="1" t="s">
        <v>331</v>
      </c>
      <c r="B354" s="1"/>
      <c r="C354" s="1"/>
      <c r="D354" s="1"/>
      <c r="E354" s="1"/>
      <c r="F354" s="1"/>
      <c r="G354" s="60"/>
      <c r="H354" s="60"/>
      <c r="I354" s="60"/>
    </row>
    <row r="355" spans="1:9" x14ac:dyDescent="0.4">
      <c r="A355" s="65" t="s">
        <v>0</v>
      </c>
      <c r="B355" s="66" t="s">
        <v>2</v>
      </c>
      <c r="C355" s="67" t="s">
        <v>1</v>
      </c>
      <c r="D355" s="67" t="s">
        <v>113</v>
      </c>
      <c r="E355" s="11" t="s">
        <v>69</v>
      </c>
      <c r="F355" s="65" t="s">
        <v>180</v>
      </c>
      <c r="G355" s="59"/>
      <c r="H355" s="59"/>
      <c r="I355" s="59"/>
    </row>
    <row r="356" spans="1:9" x14ac:dyDescent="0.4">
      <c r="A356" s="65" t="s">
        <v>3</v>
      </c>
      <c r="B356" s="70">
        <v>3.1</v>
      </c>
      <c r="C356" s="71">
        <v>7618.3</v>
      </c>
      <c r="D356" s="72">
        <f>C356/C358</f>
        <v>53.163293789253309</v>
      </c>
      <c r="E356" s="74">
        <f>(D357+0.0045)/0.0056</f>
        <v>2.6353927823746384</v>
      </c>
      <c r="F356" s="97">
        <f>(C357/(C356+C357))</f>
        <v>1.9291920884751112E-4</v>
      </c>
      <c r="G356" s="59"/>
      <c r="H356" s="59"/>
      <c r="I356" s="59"/>
    </row>
    <row r="357" spans="1:9" x14ac:dyDescent="0.4">
      <c r="A357" s="65" t="s">
        <v>5</v>
      </c>
      <c r="B357" s="70">
        <v>4.83</v>
      </c>
      <c r="C357" s="71">
        <v>1.47</v>
      </c>
      <c r="D357" s="31">
        <f>C357/C358</f>
        <v>1.0258199581297976E-2</v>
      </c>
      <c r="E357" s="74"/>
      <c r="F357" s="72"/>
      <c r="G357" s="59"/>
      <c r="H357" s="59"/>
      <c r="I357" s="59"/>
    </row>
    <row r="358" spans="1:9" ht="15" thickBot="1" x14ac:dyDescent="0.45">
      <c r="A358" s="65" t="s">
        <v>4</v>
      </c>
      <c r="B358" s="75">
        <v>6.2119999999999997</v>
      </c>
      <c r="C358" s="76">
        <v>143.30000000000001</v>
      </c>
      <c r="D358" s="76"/>
      <c r="E358" s="77"/>
      <c r="F358" s="100">
        <f>C358/(C356+C357+C358)</f>
        <v>1.8459192046445541E-2</v>
      </c>
      <c r="G358" s="59"/>
      <c r="H358" s="59"/>
      <c r="I358" s="59"/>
    </row>
    <row r="359" spans="1:9" ht="15" thickBot="1" x14ac:dyDescent="0.45">
      <c r="A359" s="1" t="s">
        <v>332</v>
      </c>
      <c r="B359" s="78"/>
      <c r="C359" s="78"/>
      <c r="D359" s="78"/>
      <c r="E359" s="78"/>
      <c r="F359" s="78"/>
      <c r="G359" s="87"/>
      <c r="H359" s="87"/>
      <c r="I359" s="87"/>
    </row>
    <row r="360" spans="1:9" x14ac:dyDescent="0.4">
      <c r="A360" s="65" t="s">
        <v>0</v>
      </c>
      <c r="B360" s="66" t="s">
        <v>2</v>
      </c>
      <c r="C360" s="67" t="s">
        <v>1</v>
      </c>
      <c r="D360" s="67" t="s">
        <v>113</v>
      </c>
      <c r="E360" s="11" t="s">
        <v>69</v>
      </c>
      <c r="F360" s="65" t="s">
        <v>180</v>
      </c>
      <c r="G360" s="87"/>
      <c r="H360" s="87"/>
      <c r="I360" s="87"/>
    </row>
    <row r="361" spans="1:9" x14ac:dyDescent="0.4">
      <c r="A361" s="65" t="s">
        <v>3</v>
      </c>
      <c r="B361" s="70">
        <v>3.14</v>
      </c>
      <c r="C361" s="59">
        <v>7847</v>
      </c>
      <c r="D361" s="72">
        <f>C361/C363</f>
        <v>52.523427041499332</v>
      </c>
      <c r="E361" s="74">
        <f>(D362+0.0045)/0.0056</f>
        <v>4.0666236374067699</v>
      </c>
      <c r="F361" s="97">
        <f>(C362/(C361+C362))</f>
        <v>3.4778266258839478E-4</v>
      </c>
      <c r="G361" s="87"/>
      <c r="H361" s="87"/>
      <c r="I361" s="87"/>
    </row>
    <row r="362" spans="1:9" x14ac:dyDescent="0.4">
      <c r="A362" s="65" t="s">
        <v>5</v>
      </c>
      <c r="B362" s="70">
        <v>4.83</v>
      </c>
      <c r="C362" s="59">
        <v>2.73</v>
      </c>
      <c r="D362" s="31">
        <f>C362/C363</f>
        <v>1.8273092369477911E-2</v>
      </c>
      <c r="E362" s="74"/>
      <c r="F362" s="72"/>
      <c r="G362" s="87"/>
      <c r="H362" s="87"/>
      <c r="I362" s="87"/>
    </row>
    <row r="363" spans="1:9" ht="15" thickBot="1" x14ac:dyDescent="0.45">
      <c r="A363" s="65" t="s">
        <v>4</v>
      </c>
      <c r="B363" s="75">
        <v>6.2119999999999997</v>
      </c>
      <c r="C363" s="76">
        <v>149.4</v>
      </c>
      <c r="D363" s="76"/>
      <c r="E363" s="77"/>
      <c r="F363" s="100">
        <f>C363/(C361+C362+C363)</f>
        <v>1.8677031127135077E-2</v>
      </c>
      <c r="G363" s="87"/>
      <c r="H363" s="87"/>
      <c r="I363" s="87"/>
    </row>
    <row r="364" spans="1:9" ht="15" thickBot="1" x14ac:dyDescent="0.45">
      <c r="A364" s="1" t="s">
        <v>370</v>
      </c>
      <c r="B364" s="78"/>
      <c r="C364" s="78"/>
      <c r="D364" s="78"/>
      <c r="E364" s="78"/>
      <c r="F364" s="79"/>
      <c r="G364" s="87"/>
      <c r="H364" s="87"/>
      <c r="I364" s="87"/>
    </row>
    <row r="365" spans="1:9" x14ac:dyDescent="0.4">
      <c r="A365" t="s">
        <v>0</v>
      </c>
      <c r="B365" s="66" t="s">
        <v>2</v>
      </c>
      <c r="C365" s="67" t="s">
        <v>1</v>
      </c>
      <c r="D365" s="67" t="s">
        <v>113</v>
      </c>
      <c r="E365" s="11" t="s">
        <v>69</v>
      </c>
      <c r="F365" s="65" t="s">
        <v>180</v>
      </c>
      <c r="G365" s="21"/>
      <c r="H365" s="21"/>
      <c r="I365" s="21"/>
    </row>
    <row r="366" spans="1:9" x14ac:dyDescent="0.4">
      <c r="A366" t="s">
        <v>3</v>
      </c>
      <c r="B366" s="18">
        <v>3.1</v>
      </c>
      <c r="C366" s="59">
        <v>6958.8</v>
      </c>
      <c r="D366" s="8">
        <f>C366/C368</f>
        <v>52.67827403482211</v>
      </c>
      <c r="E366" s="74">
        <f>(D367+0.0045)/0.0056</f>
        <v>6.3188736887639232</v>
      </c>
      <c r="F366" s="97">
        <f>(C367/(C366+C367))</f>
        <v>5.8596442851233967E-4</v>
      </c>
      <c r="G366" s="21"/>
      <c r="H366" s="21"/>
      <c r="I366" s="21"/>
    </row>
    <row r="367" spans="1:9" x14ac:dyDescent="0.4">
      <c r="A367" t="s">
        <v>5</v>
      </c>
      <c r="B367" s="18">
        <v>4.83</v>
      </c>
      <c r="C367" s="59">
        <v>4.08</v>
      </c>
      <c r="D367" s="32">
        <f>C367/C368</f>
        <v>3.0885692657077975E-2</v>
      </c>
      <c r="E367" s="13"/>
      <c r="F367" s="72"/>
      <c r="G367" s="21"/>
      <c r="H367" s="21"/>
      <c r="I367" s="21"/>
    </row>
    <row r="368" spans="1:9" ht="15" thickBot="1" x14ac:dyDescent="0.45">
      <c r="A368" t="s">
        <v>4</v>
      </c>
      <c r="B368" s="20">
        <v>6.2119999999999997</v>
      </c>
      <c r="C368" s="16">
        <v>132.1</v>
      </c>
      <c r="D368" s="16"/>
      <c r="E368" s="24"/>
      <c r="F368" s="100">
        <f>C368/(C366+C367+C368)</f>
        <v>1.8618798079769076E-2</v>
      </c>
      <c r="G368" s="21"/>
      <c r="H368" s="21"/>
      <c r="I368" s="21"/>
    </row>
    <row r="369" spans="1:9" x14ac:dyDescent="0.4">
      <c r="A369" s="4" t="s">
        <v>186</v>
      </c>
      <c r="B369" s="4"/>
      <c r="C369" s="4"/>
      <c r="D369" s="4"/>
      <c r="E369" s="4"/>
      <c r="F369" s="4"/>
      <c r="G369" s="4"/>
      <c r="H369" s="4"/>
      <c r="I369" s="4"/>
    </row>
    <row r="370" spans="1:9" ht="15" thickBot="1" x14ac:dyDescent="0.45">
      <c r="A370" s="1" t="s">
        <v>369</v>
      </c>
      <c r="B370" s="1"/>
      <c r="C370" s="1"/>
      <c r="D370" s="1"/>
      <c r="E370" s="1"/>
      <c r="F370" s="1"/>
      <c r="G370" s="60"/>
      <c r="H370" s="60"/>
      <c r="I370" s="60"/>
    </row>
    <row r="371" spans="1:9" x14ac:dyDescent="0.4">
      <c r="A371" s="65" t="s">
        <v>0</v>
      </c>
      <c r="B371" s="66" t="s">
        <v>2</v>
      </c>
      <c r="C371" s="67" t="s">
        <v>1</v>
      </c>
      <c r="D371" s="67" t="s">
        <v>113</v>
      </c>
      <c r="E371" s="11" t="s">
        <v>69</v>
      </c>
      <c r="F371" s="65" t="s">
        <v>180</v>
      </c>
      <c r="G371" s="59"/>
      <c r="H371" s="59"/>
      <c r="I371" s="59"/>
    </row>
    <row r="372" spans="1:9" x14ac:dyDescent="0.4">
      <c r="A372" s="65" t="s">
        <v>3</v>
      </c>
      <c r="B372" s="70">
        <v>3.1</v>
      </c>
      <c r="C372" s="71">
        <v>8185.8</v>
      </c>
      <c r="D372" s="72">
        <f>C372/C374</f>
        <v>53.085603112840474</v>
      </c>
      <c r="E372" s="74">
        <f>(D373+0.0045)/0.0056</f>
        <v>1.8724522883083197</v>
      </c>
      <c r="F372" s="97">
        <f>(C373/(C372+C373))</f>
        <v>1.1274352387396031E-4</v>
      </c>
      <c r="G372" s="59"/>
      <c r="H372" s="59"/>
      <c r="I372" s="59"/>
    </row>
    <row r="373" spans="1:9" x14ac:dyDescent="0.4">
      <c r="A373" s="65" t="s">
        <v>5</v>
      </c>
      <c r="B373" s="70">
        <v>4.83</v>
      </c>
      <c r="C373" s="71">
        <v>0.92300000000000004</v>
      </c>
      <c r="D373" s="31">
        <f>C373/C374</f>
        <v>5.98573281452659E-3</v>
      </c>
      <c r="E373" s="74"/>
      <c r="F373" s="72"/>
      <c r="G373" s="59"/>
      <c r="H373" s="59"/>
      <c r="I373" s="59"/>
    </row>
    <row r="374" spans="1:9" ht="15" thickBot="1" x14ac:dyDescent="0.45">
      <c r="A374" s="65" t="s">
        <v>4</v>
      </c>
      <c r="B374" s="75">
        <v>6.2119999999999997</v>
      </c>
      <c r="C374" s="76">
        <v>154.19999999999999</v>
      </c>
      <c r="D374" s="76"/>
      <c r="E374" s="77"/>
      <c r="F374" s="100">
        <f>C374/(C372+C373+C374)</f>
        <v>1.8487162631761495E-2</v>
      </c>
      <c r="G374" s="59"/>
      <c r="H374" s="59"/>
      <c r="I374" s="59"/>
    </row>
    <row r="375" spans="1:9" ht="15" thickBot="1" x14ac:dyDescent="0.45">
      <c r="A375" s="1" t="s">
        <v>368</v>
      </c>
      <c r="B375" s="78"/>
      <c r="C375" s="78"/>
      <c r="D375" s="78"/>
      <c r="E375" s="78"/>
      <c r="F375" s="78"/>
      <c r="G375" s="87"/>
      <c r="H375" s="87"/>
      <c r="I375" s="87"/>
    </row>
    <row r="376" spans="1:9" x14ac:dyDescent="0.4">
      <c r="A376" s="65" t="s">
        <v>0</v>
      </c>
      <c r="B376" s="66" t="s">
        <v>2</v>
      </c>
      <c r="C376" s="67" t="s">
        <v>1</v>
      </c>
      <c r="D376" s="67" t="s">
        <v>113</v>
      </c>
      <c r="E376" s="11" t="s">
        <v>69</v>
      </c>
      <c r="F376" s="65" t="s">
        <v>180</v>
      </c>
      <c r="G376" s="87"/>
      <c r="H376" s="87"/>
      <c r="I376" s="87"/>
    </row>
    <row r="377" spans="1:9" x14ac:dyDescent="0.4">
      <c r="A377" s="65" t="s">
        <v>3</v>
      </c>
      <c r="B377" s="70">
        <v>3.14</v>
      </c>
      <c r="C377" s="59">
        <v>7368.8</v>
      </c>
      <c r="D377" s="72">
        <f>C377/C379</f>
        <v>53.127613554434035</v>
      </c>
      <c r="E377" s="74">
        <f>(D378+0.0045)/0.0056</f>
        <v>2.7605185909980432</v>
      </c>
      <c r="F377" s="97">
        <f>(C378/(C377+C378))</f>
        <v>2.0623256520748079E-4</v>
      </c>
      <c r="G377" s="87"/>
      <c r="H377" s="87"/>
      <c r="I377" s="87"/>
    </row>
    <row r="378" spans="1:9" x14ac:dyDescent="0.4">
      <c r="A378" s="65" t="s">
        <v>5</v>
      </c>
      <c r="B378" s="70">
        <v>4.83</v>
      </c>
      <c r="C378" s="59">
        <v>1.52</v>
      </c>
      <c r="D378" s="31">
        <f>C378/C379</f>
        <v>1.0958904109589043E-2</v>
      </c>
      <c r="E378" s="74"/>
      <c r="F378" s="72"/>
      <c r="G378" s="87"/>
      <c r="H378" s="87"/>
      <c r="I378" s="87"/>
    </row>
    <row r="379" spans="1:9" ht="15" thickBot="1" x14ac:dyDescent="0.45">
      <c r="A379" s="65" t="s">
        <v>4</v>
      </c>
      <c r="B379" s="75">
        <v>6.2119999999999997</v>
      </c>
      <c r="C379" s="76">
        <v>138.69999999999999</v>
      </c>
      <c r="D379" s="76"/>
      <c r="E379" s="77"/>
      <c r="F379" s="100">
        <f>C379/(C377+C378+C379)</f>
        <v>1.8471118734535264E-2</v>
      </c>
      <c r="G379" s="87"/>
      <c r="H379" s="87"/>
      <c r="I379" s="87"/>
    </row>
    <row r="380" spans="1:9" ht="15" thickBot="1" x14ac:dyDescent="0.45">
      <c r="A380" s="1" t="s">
        <v>367</v>
      </c>
      <c r="B380" s="78"/>
      <c r="C380" s="78"/>
      <c r="D380" s="78"/>
      <c r="E380" s="78"/>
      <c r="F380" s="79"/>
      <c r="G380" s="87"/>
      <c r="H380" s="87"/>
      <c r="I380" s="87"/>
    </row>
    <row r="381" spans="1:9" x14ac:dyDescent="0.4">
      <c r="A381" t="s">
        <v>0</v>
      </c>
      <c r="B381" s="66" t="s">
        <v>2</v>
      </c>
      <c r="C381" s="67" t="s">
        <v>1</v>
      </c>
      <c r="D381" s="67" t="s">
        <v>113</v>
      </c>
      <c r="E381" s="11" t="s">
        <v>69</v>
      </c>
      <c r="F381" s="65" t="s">
        <v>180</v>
      </c>
      <c r="G381" s="21"/>
      <c r="H381" s="21"/>
      <c r="I381" s="21"/>
    </row>
    <row r="382" spans="1:9" x14ac:dyDescent="0.4">
      <c r="A382" t="s">
        <v>3</v>
      </c>
      <c r="B382" s="18">
        <v>3.1</v>
      </c>
      <c r="C382" s="59">
        <v>7578.5</v>
      </c>
      <c r="D382" s="8">
        <f>C382/C384</f>
        <v>52.555478502080447</v>
      </c>
      <c r="E382" s="74">
        <f>(D383+0.0045)/0.0056</f>
        <v>4.0852238953833968</v>
      </c>
      <c r="F382" s="97">
        <f>(C383/(C382+C383))</f>
        <v>3.4955118946334001E-4</v>
      </c>
      <c r="G382" s="21"/>
      <c r="H382" s="21"/>
      <c r="I382" s="21"/>
    </row>
    <row r="383" spans="1:9" x14ac:dyDescent="0.4">
      <c r="A383" t="s">
        <v>5</v>
      </c>
      <c r="B383" s="18">
        <v>4.83</v>
      </c>
      <c r="C383" s="59">
        <v>2.65</v>
      </c>
      <c r="D383" s="32">
        <f>C383/C384</f>
        <v>1.837725381414702E-2</v>
      </c>
      <c r="E383" s="13"/>
      <c r="F383" s="72"/>
      <c r="G383" s="21"/>
      <c r="H383" s="21"/>
      <c r="I383" s="21"/>
    </row>
    <row r="384" spans="1:9" ht="15" thickBot="1" x14ac:dyDescent="0.45">
      <c r="A384" t="s">
        <v>4</v>
      </c>
      <c r="B384" s="20">
        <v>6.2119999999999997</v>
      </c>
      <c r="C384" s="16">
        <v>144.19999999999999</v>
      </c>
      <c r="D384" s="16"/>
      <c r="E384" s="24"/>
      <c r="F384" s="100">
        <f>C384/(C382+C383+C384)</f>
        <v>1.8665820966040372E-2</v>
      </c>
      <c r="G384" s="21"/>
      <c r="H384" s="21"/>
      <c r="I384" s="21"/>
    </row>
  </sheetData>
  <mergeCells count="96">
    <mergeCell ref="M116:M119"/>
    <mergeCell ref="N116:N119"/>
    <mergeCell ref="Q116:Q119"/>
    <mergeCell ref="R116:R119"/>
    <mergeCell ref="M120:M123"/>
    <mergeCell ref="N120:N123"/>
    <mergeCell ref="Q120:Q123"/>
    <mergeCell ref="R120:R123"/>
    <mergeCell ref="M108:M111"/>
    <mergeCell ref="N108:N111"/>
    <mergeCell ref="Q108:Q111"/>
    <mergeCell ref="R108:R111"/>
    <mergeCell ref="M112:M115"/>
    <mergeCell ref="N112:N115"/>
    <mergeCell ref="Q112:Q115"/>
    <mergeCell ref="R112:R115"/>
    <mergeCell ref="M96:M99"/>
    <mergeCell ref="N96:N99"/>
    <mergeCell ref="Q96:Q99"/>
    <mergeCell ref="R96:R99"/>
    <mergeCell ref="M100:M103"/>
    <mergeCell ref="N100:N103"/>
    <mergeCell ref="Q100:Q103"/>
    <mergeCell ref="R100:R103"/>
    <mergeCell ref="R88:R91"/>
    <mergeCell ref="M92:M95"/>
    <mergeCell ref="N92:N95"/>
    <mergeCell ref="Q92:Q95"/>
    <mergeCell ref="R92:R95"/>
    <mergeCell ref="Q4:Q7"/>
    <mergeCell ref="Q8:Q11"/>
    <mergeCell ref="Q12:Q15"/>
    <mergeCell ref="M88:M91"/>
    <mergeCell ref="N88:N91"/>
    <mergeCell ref="Q88:Q91"/>
    <mergeCell ref="M58:M61"/>
    <mergeCell ref="N58:N61"/>
    <mergeCell ref="M4:M7"/>
    <mergeCell ref="N4:N7"/>
    <mergeCell ref="M8:M11"/>
    <mergeCell ref="N8:N11"/>
    <mergeCell ref="M12:M15"/>
    <mergeCell ref="N12:N15"/>
    <mergeCell ref="N33:N36"/>
    <mergeCell ref="N37:N40"/>
    <mergeCell ref="M46:M49"/>
    <mergeCell ref="N46:N49"/>
    <mergeCell ref="M50:M53"/>
    <mergeCell ref="N50:N53"/>
    <mergeCell ref="M25:M28"/>
    <mergeCell ref="M29:M32"/>
    <mergeCell ref="M16:M19"/>
    <mergeCell ref="N16:N19"/>
    <mergeCell ref="Q16:Q19"/>
    <mergeCell ref="M54:M57"/>
    <mergeCell ref="N54:N57"/>
    <mergeCell ref="Q46:Q49"/>
    <mergeCell ref="Q50:Q53"/>
    <mergeCell ref="Q54:Q57"/>
    <mergeCell ref="M33:M36"/>
    <mergeCell ref="M37:M40"/>
    <mergeCell ref="N25:N28"/>
    <mergeCell ref="N29:N32"/>
    <mergeCell ref="Q37:Q40"/>
    <mergeCell ref="Q25:Q28"/>
    <mergeCell ref="Q29:Q32"/>
    <mergeCell ref="Q33:Q36"/>
    <mergeCell ref="M75:M78"/>
    <mergeCell ref="N75:N78"/>
    <mergeCell ref="Q75:Q78"/>
    <mergeCell ref="M79:M82"/>
    <mergeCell ref="N79:N82"/>
    <mergeCell ref="Q79:Q82"/>
    <mergeCell ref="M67:M70"/>
    <mergeCell ref="N67:N70"/>
    <mergeCell ref="Q67:Q70"/>
    <mergeCell ref="M71:M74"/>
    <mergeCell ref="N71:N74"/>
    <mergeCell ref="Q71:Q74"/>
    <mergeCell ref="R4:R7"/>
    <mergeCell ref="R8:R11"/>
    <mergeCell ref="R12:R15"/>
    <mergeCell ref="R16:R19"/>
    <mergeCell ref="R25:R28"/>
    <mergeCell ref="R29:R32"/>
    <mergeCell ref="R33:R36"/>
    <mergeCell ref="R37:R40"/>
    <mergeCell ref="R46:R49"/>
    <mergeCell ref="Q58:Q61"/>
    <mergeCell ref="R79:R82"/>
    <mergeCell ref="R50:R53"/>
    <mergeCell ref="R54:R57"/>
    <mergeCell ref="R58:R61"/>
    <mergeCell ref="R67:R70"/>
    <mergeCell ref="R71:R74"/>
    <mergeCell ref="R75:R7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B8118-1E80-4815-995D-36344CFD1E03}">
  <dimension ref="A1:AJ246"/>
  <sheetViews>
    <sheetView tabSelected="1" topLeftCell="P1" zoomScale="68" workbookViewId="0">
      <selection activeCell="S17" sqref="S17"/>
    </sheetView>
  </sheetViews>
  <sheetFormatPr defaultRowHeight="14.6" x14ac:dyDescent="0.4"/>
  <cols>
    <col min="13" max="13" width="8.69140625" style="131"/>
    <col min="14" max="14" width="11.69140625" customWidth="1"/>
    <col min="18" max="18" width="8.69140625" style="132"/>
    <col min="22" max="22" width="12.53515625" customWidth="1"/>
    <col min="23" max="23" width="14.84375" customWidth="1"/>
    <col min="24" max="24" width="16.23046875" customWidth="1"/>
    <col min="25" max="25" width="16.3828125" customWidth="1"/>
    <col min="29" max="29" width="14.23046875" customWidth="1"/>
  </cols>
  <sheetData>
    <row r="1" spans="1:31" x14ac:dyDescent="0.4">
      <c r="A1" s="4" t="s">
        <v>380</v>
      </c>
      <c r="B1" s="4"/>
      <c r="C1" s="4"/>
      <c r="D1" s="4"/>
      <c r="E1" s="4"/>
      <c r="F1" s="4"/>
      <c r="G1" s="4"/>
      <c r="H1" s="4"/>
      <c r="I1" s="4"/>
      <c r="L1" s="21"/>
      <c r="M1" s="130"/>
      <c r="N1" s="21"/>
      <c r="O1" s="21"/>
      <c r="P1" s="21"/>
      <c r="Q1" s="111"/>
      <c r="R1" s="133"/>
      <c r="S1" s="21"/>
    </row>
    <row r="2" spans="1:31" ht="15" thickBot="1" x14ac:dyDescent="0.45">
      <c r="A2" s="1" t="s">
        <v>372</v>
      </c>
      <c r="B2" s="1"/>
      <c r="C2" s="1"/>
      <c r="D2" s="1"/>
      <c r="E2" s="1"/>
      <c r="F2" s="1"/>
      <c r="G2" s="60"/>
      <c r="H2" s="60"/>
      <c r="I2" s="60"/>
      <c r="L2" s="21"/>
      <c r="M2" s="115" t="s">
        <v>279</v>
      </c>
      <c r="N2" s="105"/>
      <c r="O2" s="105"/>
      <c r="P2" s="105"/>
      <c r="Q2" s="112"/>
      <c r="R2" s="134"/>
      <c r="S2" s="21"/>
    </row>
    <row r="3" spans="1:31" x14ac:dyDescent="0.4">
      <c r="A3" s="65" t="s">
        <v>0</v>
      </c>
      <c r="B3" s="66" t="s">
        <v>2</v>
      </c>
      <c r="C3" s="67" t="s">
        <v>1</v>
      </c>
      <c r="D3" s="67" t="s">
        <v>113</v>
      </c>
      <c r="E3" s="11" t="s">
        <v>69</v>
      </c>
      <c r="F3" s="65" t="s">
        <v>180</v>
      </c>
      <c r="G3" s="21"/>
      <c r="H3" s="21"/>
      <c r="I3" s="59"/>
      <c r="L3" s="59"/>
      <c r="M3" s="115" t="s">
        <v>187</v>
      </c>
      <c r="N3" s="105" t="s">
        <v>272</v>
      </c>
      <c r="O3" s="105" t="s">
        <v>188</v>
      </c>
      <c r="P3" s="105" t="s">
        <v>390</v>
      </c>
      <c r="Q3" s="112" t="s">
        <v>294</v>
      </c>
      <c r="R3" s="134" t="s">
        <v>295</v>
      </c>
      <c r="S3" s="59"/>
      <c r="V3" t="s">
        <v>395</v>
      </c>
      <c r="W3" t="s">
        <v>394</v>
      </c>
      <c r="X3" t="s">
        <v>398</v>
      </c>
      <c r="Y3" t="s">
        <v>397</v>
      </c>
      <c r="AD3" s="138" t="s">
        <v>415</v>
      </c>
      <c r="AE3" s="138" t="s">
        <v>47</v>
      </c>
    </row>
    <row r="4" spans="1:31" x14ac:dyDescent="0.4">
      <c r="A4" s="65" t="s">
        <v>3</v>
      </c>
      <c r="B4" s="70">
        <v>3.1</v>
      </c>
      <c r="C4" s="71">
        <v>6616.7</v>
      </c>
      <c r="D4" s="72">
        <f>C4/C6</f>
        <v>57.687009590235391</v>
      </c>
      <c r="E4" s="74">
        <f>(D5+0.0045)/0.0056</f>
        <v>1.4372119815668203</v>
      </c>
      <c r="F4" s="97">
        <f>(C5/(C4+C5))</f>
        <v>6.1507241759880865E-5</v>
      </c>
      <c r="G4" s="106"/>
      <c r="H4" s="106"/>
      <c r="I4" s="59"/>
      <c r="K4" s="60"/>
      <c r="L4" s="59"/>
      <c r="M4" s="169" t="s">
        <v>382</v>
      </c>
      <c r="N4" s="175">
        <f>((0.048*0.5*0.232)/44400)*2*1000</f>
        <v>2.5081081081081082E-4</v>
      </c>
      <c r="O4" s="101">
        <v>0.5</v>
      </c>
      <c r="P4" s="102">
        <f>E4</f>
        <v>1.4372119815668203</v>
      </c>
      <c r="Q4" s="170">
        <f>(P7-P4)/1.5</f>
        <v>2.2391699228446438</v>
      </c>
      <c r="R4" s="171">
        <f>Q4/(N4)</f>
        <v>8927.7249078935147</v>
      </c>
      <c r="S4" s="59"/>
      <c r="U4" t="s">
        <v>391</v>
      </c>
      <c r="V4">
        <v>2</v>
      </c>
      <c r="W4" s="135">
        <f t="shared" ref="W4:W5" si="0">(V4^3*3.1416*(1/6))</f>
        <v>4.1887999999999996</v>
      </c>
      <c r="X4" s="132">
        <f>AVERAGE(Q4*1000/60/0.048,Q10*1000/60/0.026)</f>
        <v>880.77960275992336</v>
      </c>
      <c r="Y4" s="2">
        <f>AVERAGE(R4,R10)</f>
        <v>10113.779576519119</v>
      </c>
      <c r="Z4">
        <f>STDEV(R4,R10)</f>
        <v>1677.3345980862639</v>
      </c>
      <c r="AC4" s="138" t="s">
        <v>414</v>
      </c>
      <c r="AD4" s="132">
        <v>10113.779576519119</v>
      </c>
      <c r="AE4" s="132">
        <v>1677.3345980862639</v>
      </c>
    </row>
    <row r="5" spans="1:31" x14ac:dyDescent="0.4">
      <c r="A5" s="65" t="s">
        <v>5</v>
      </c>
      <c r="B5" s="70">
        <v>4.83</v>
      </c>
      <c r="C5" s="71">
        <v>0.40699999999999997</v>
      </c>
      <c r="D5" s="31">
        <f>C5/C6</f>
        <v>3.5483870967741933E-3</v>
      </c>
      <c r="E5" s="74"/>
      <c r="F5" s="72"/>
      <c r="G5" s="59"/>
      <c r="H5" s="59"/>
      <c r="I5" s="59"/>
      <c r="K5" s="60"/>
      <c r="L5" s="89"/>
      <c r="M5" s="169"/>
      <c r="N5" s="175"/>
      <c r="O5" s="101">
        <v>1</v>
      </c>
      <c r="P5" s="102">
        <f>E45</f>
        <v>2.3054337378349152</v>
      </c>
      <c r="Q5" s="170"/>
      <c r="R5" s="171"/>
      <c r="S5" s="59"/>
      <c r="U5" t="s">
        <v>392</v>
      </c>
      <c r="V5">
        <v>0.15</v>
      </c>
      <c r="W5" s="135">
        <f t="shared" si="0"/>
        <v>1.7671499999999999E-3</v>
      </c>
      <c r="X5" s="132">
        <f>AVERAGE(Q28*1000/60/0.044,Q34*1000/60/0.022)</f>
        <v>1214.1402727082675</v>
      </c>
      <c r="Y5" s="2">
        <f>AVERAGE(R28,R34)</f>
        <v>19026.29227349897</v>
      </c>
      <c r="Z5">
        <f>STDEV(R28,R34)</f>
        <v>5152.4938765095767</v>
      </c>
      <c r="AC5" s="138" t="s">
        <v>412</v>
      </c>
      <c r="AD5" s="132">
        <v>19026.29227349897</v>
      </c>
      <c r="AE5" s="132">
        <v>5152.4938765095767</v>
      </c>
    </row>
    <row r="6" spans="1:31" ht="15" thickBot="1" x14ac:dyDescent="0.45">
      <c r="A6" s="65" t="s">
        <v>4</v>
      </c>
      <c r="B6" s="75">
        <v>6.2119999999999997</v>
      </c>
      <c r="C6" s="76">
        <v>114.7</v>
      </c>
      <c r="D6" s="76"/>
      <c r="E6" s="77"/>
      <c r="F6" s="100">
        <f>C6/(C4+C5+C6)</f>
        <v>1.7038515810093784E-2</v>
      </c>
      <c r="G6" s="59"/>
      <c r="H6" s="59"/>
      <c r="I6" s="59"/>
      <c r="K6" s="168"/>
      <c r="L6" s="59"/>
      <c r="M6" s="169"/>
      <c r="N6" s="175"/>
      <c r="O6" s="101">
        <v>1.5</v>
      </c>
      <c r="P6" s="102">
        <f>E86</f>
        <v>3.4765450067174206</v>
      </c>
      <c r="Q6" s="170"/>
      <c r="R6" s="171"/>
      <c r="S6" s="59"/>
      <c r="U6" t="s">
        <v>393</v>
      </c>
      <c r="V6">
        <v>0.1</v>
      </c>
      <c r="W6" s="135">
        <f>(V6^3*3.1416*(1/6))</f>
        <v>5.2360000000000015E-4</v>
      </c>
      <c r="X6" s="132">
        <f>AVERAGE(Q16*1000/60/0.045,Q22*1000/60/0.022)</f>
        <v>860.05410708493059</v>
      </c>
      <c r="Y6" s="2">
        <f>AVERAGE(R16:R25)</f>
        <v>13282.277931072793</v>
      </c>
      <c r="Z6">
        <f>STDEV(R16,R22)</f>
        <v>1842.2353952727156</v>
      </c>
      <c r="AC6" s="138" t="s">
        <v>413</v>
      </c>
      <c r="AD6" s="132">
        <v>19923.340358906564</v>
      </c>
      <c r="AE6" s="132">
        <v>1842.2353952727156</v>
      </c>
    </row>
    <row r="7" spans="1:31" ht="15" thickBot="1" x14ac:dyDescent="0.45">
      <c r="A7" s="1" t="s">
        <v>373</v>
      </c>
      <c r="B7" s="78"/>
      <c r="C7" s="78"/>
      <c r="D7" s="78"/>
      <c r="E7" s="78"/>
      <c r="F7" s="78"/>
      <c r="G7" s="87"/>
      <c r="H7" s="87"/>
      <c r="I7" s="87"/>
      <c r="K7" s="168"/>
      <c r="L7" s="89"/>
      <c r="M7" s="169"/>
      <c r="N7" s="175"/>
      <c r="O7" s="101">
        <v>2</v>
      </c>
      <c r="P7" s="102">
        <f>E127</f>
        <v>4.795966865833786</v>
      </c>
      <c r="Q7" s="170"/>
      <c r="R7" s="171"/>
      <c r="S7" s="59"/>
      <c r="U7" t="s">
        <v>407</v>
      </c>
      <c r="W7" s="135"/>
      <c r="X7" s="132"/>
      <c r="Y7" s="2">
        <f>AVERAGE(R40:R50)</f>
        <v>5193.393890875147</v>
      </c>
      <c r="Z7">
        <f>STDEV(R46,R40)</f>
        <v>2334.7126271568654</v>
      </c>
    </row>
    <row r="8" spans="1:31" x14ac:dyDescent="0.4">
      <c r="A8" s="65" t="s">
        <v>0</v>
      </c>
      <c r="B8" s="66" t="s">
        <v>2</v>
      </c>
      <c r="C8" s="67" t="s">
        <v>1</v>
      </c>
      <c r="D8" s="67" t="s">
        <v>113</v>
      </c>
      <c r="E8" s="11" t="s">
        <v>69</v>
      </c>
      <c r="F8" s="65" t="s">
        <v>180</v>
      </c>
      <c r="G8" s="21"/>
      <c r="H8" s="21"/>
      <c r="I8" s="87"/>
      <c r="K8" s="168"/>
      <c r="L8" s="59"/>
      <c r="O8" s="101">
        <v>18.5</v>
      </c>
      <c r="P8" s="102">
        <f>E168</f>
        <v>17.360887595939587</v>
      </c>
      <c r="Q8" s="178" t="s">
        <v>429</v>
      </c>
      <c r="R8" s="179" t="s">
        <v>430</v>
      </c>
      <c r="S8" s="59"/>
    </row>
    <row r="9" spans="1:31" x14ac:dyDescent="0.4">
      <c r="A9" s="65" t="s">
        <v>3</v>
      </c>
      <c r="B9" s="70">
        <v>3.14</v>
      </c>
      <c r="C9" s="59">
        <v>6590.14</v>
      </c>
      <c r="D9" s="72">
        <f>C9/C11</f>
        <v>55.848644067796613</v>
      </c>
      <c r="E9" s="74">
        <f>(D10+0.0045)/0.0056</f>
        <v>1.1062348668280872</v>
      </c>
      <c r="F9" s="97">
        <f>(C10/(C9+C10))</f>
        <v>3.0347447931366213E-5</v>
      </c>
      <c r="G9" s="106"/>
      <c r="H9" s="106"/>
      <c r="I9" s="87"/>
      <c r="K9" s="168"/>
      <c r="L9" s="89"/>
      <c r="O9" s="101">
        <v>19.7</v>
      </c>
      <c r="P9" s="102">
        <f>E209</f>
        <v>17.302812171475299</v>
      </c>
      <c r="Q9" s="178">
        <f>Q4*0.0056-0.0045</f>
        <v>8.0393515679300052E-3</v>
      </c>
      <c r="R9" s="180">
        <f>(Q9/50)*1000</f>
        <v>0.16078703135860012</v>
      </c>
      <c r="S9" s="59"/>
      <c r="X9">
        <v>100</v>
      </c>
      <c r="Y9" t="s">
        <v>396</v>
      </c>
    </row>
    <row r="10" spans="1:31" x14ac:dyDescent="0.4">
      <c r="A10" s="65" t="s">
        <v>5</v>
      </c>
      <c r="B10" s="70">
        <v>4.83</v>
      </c>
      <c r="C10" s="59">
        <v>0.2</v>
      </c>
      <c r="D10" s="31">
        <f>C10/C11</f>
        <v>1.6949152542372883E-3</v>
      </c>
      <c r="E10" s="74"/>
      <c r="F10" s="65"/>
      <c r="G10" s="87"/>
      <c r="H10" s="87"/>
      <c r="I10" s="87"/>
      <c r="K10" s="168"/>
      <c r="L10" s="59"/>
      <c r="M10" s="172" t="s">
        <v>383</v>
      </c>
      <c r="N10" s="167">
        <f>((0.026*0.5*0.232)/44400)*2*1000</f>
        <v>1.3585585585585585E-4</v>
      </c>
      <c r="O10" s="103">
        <v>0.5</v>
      </c>
      <c r="P10" s="104">
        <f>E9</f>
        <v>1.1062348668280872</v>
      </c>
      <c r="Q10" s="173">
        <f>(P13-P10)/1.5</f>
        <v>1.5351486524034454</v>
      </c>
      <c r="R10" s="174">
        <f>Q10/(N10)</f>
        <v>11299.834245144724</v>
      </c>
      <c r="S10" s="59"/>
    </row>
    <row r="11" spans="1:31" ht="15" thickBot="1" x14ac:dyDescent="0.45">
      <c r="A11" s="65" t="s">
        <v>4</v>
      </c>
      <c r="B11" s="75">
        <v>6.2119999999999997</v>
      </c>
      <c r="C11" s="76">
        <v>118</v>
      </c>
      <c r="D11" s="76"/>
      <c r="E11" s="77"/>
      <c r="F11" s="100">
        <f>C11/(C9+C10+C11)</f>
        <v>1.7590044631011548E-2</v>
      </c>
      <c r="G11" s="87"/>
      <c r="H11" s="87"/>
      <c r="I11" s="87"/>
      <c r="K11" s="168"/>
      <c r="L11" s="89"/>
      <c r="M11" s="172"/>
      <c r="N11" s="167"/>
      <c r="O11" s="103">
        <v>1</v>
      </c>
      <c r="P11" s="104">
        <f>E50</f>
        <v>1.7865616911130284</v>
      </c>
      <c r="Q11" s="173"/>
      <c r="R11" s="174"/>
      <c r="S11" s="181" t="s">
        <v>431</v>
      </c>
      <c r="T11" s="180">
        <f>AVERAGE(R9,R15)</f>
        <v>0.16233016474848594</v>
      </c>
    </row>
    <row r="12" spans="1:31" ht="15" thickBot="1" x14ac:dyDescent="0.45">
      <c r="A12" s="1" t="s">
        <v>374</v>
      </c>
      <c r="B12" s="78"/>
      <c r="C12" s="78"/>
      <c r="D12" s="78"/>
      <c r="E12" s="78"/>
      <c r="F12" s="79"/>
      <c r="G12" s="87"/>
      <c r="H12" s="87"/>
      <c r="I12" s="87"/>
      <c r="K12" s="168"/>
      <c r="L12" s="59"/>
      <c r="M12" s="172"/>
      <c r="N12" s="167"/>
      <c r="O12" s="103">
        <v>1.5</v>
      </c>
      <c r="P12" s="104">
        <f>E91</f>
        <v>2.5665377616014555</v>
      </c>
      <c r="Q12" s="173"/>
      <c r="R12" s="174"/>
      <c r="S12" s="181" t="s">
        <v>432</v>
      </c>
      <c r="T12" s="178">
        <f>STDEV(R9,R15)</f>
        <v>2.1823201685273155E-3</v>
      </c>
    </row>
    <row r="13" spans="1:31" x14ac:dyDescent="0.4">
      <c r="A13" t="s">
        <v>0</v>
      </c>
      <c r="B13" s="66" t="s">
        <v>2</v>
      </c>
      <c r="C13" s="67" t="s">
        <v>1</v>
      </c>
      <c r="D13" s="67" t="s">
        <v>113</v>
      </c>
      <c r="E13" s="11" t="s">
        <v>69</v>
      </c>
      <c r="F13" s="65" t="s">
        <v>180</v>
      </c>
      <c r="G13" s="21"/>
      <c r="H13" s="21"/>
      <c r="I13" s="21"/>
      <c r="K13" s="168"/>
      <c r="L13" s="89"/>
      <c r="M13" s="172"/>
      <c r="N13" s="167"/>
      <c r="O13" s="103">
        <v>2</v>
      </c>
      <c r="P13" s="104">
        <f>E132</f>
        <v>3.4089578454332554</v>
      </c>
      <c r="Q13" s="173"/>
      <c r="R13" s="174"/>
      <c r="S13" s="21"/>
    </row>
    <row r="14" spans="1:31" x14ac:dyDescent="0.4">
      <c r="A14" t="s">
        <v>3</v>
      </c>
      <c r="B14" s="18">
        <v>3.1</v>
      </c>
      <c r="C14" s="59">
        <v>6405.87</v>
      </c>
      <c r="D14" s="8">
        <f>C14/C16</f>
        <v>54.5644804088586</v>
      </c>
      <c r="E14" s="74">
        <f>(D15+0.0045)/0.0056</f>
        <v>1.4469761499148208</v>
      </c>
      <c r="F14" s="97">
        <f>(C15/(C14+C15))</f>
        <v>6.6028825094325219E-5</v>
      </c>
      <c r="G14" s="106"/>
      <c r="H14" s="106"/>
      <c r="I14" s="21"/>
      <c r="K14" s="168"/>
      <c r="L14" s="59"/>
      <c r="O14" s="103">
        <v>18.5</v>
      </c>
      <c r="P14" s="104">
        <f>E173</f>
        <v>10.51906779661017</v>
      </c>
      <c r="Q14" s="178" t="s">
        <v>429</v>
      </c>
      <c r="R14" s="179" t="s">
        <v>430</v>
      </c>
      <c r="S14" s="21"/>
    </row>
    <row r="15" spans="1:31" x14ac:dyDescent="0.4">
      <c r="A15" t="s">
        <v>5</v>
      </c>
      <c r="B15" s="18">
        <v>4.83</v>
      </c>
      <c r="C15" s="59">
        <v>0.42299999999999999</v>
      </c>
      <c r="D15" s="32">
        <f>C15/C16</f>
        <v>3.6030664395229981E-3</v>
      </c>
      <c r="E15" s="13"/>
      <c r="F15" s="94"/>
      <c r="G15" s="21"/>
      <c r="H15" s="21"/>
      <c r="I15" s="21"/>
      <c r="K15" s="168"/>
      <c r="L15" s="21"/>
      <c r="O15" s="103">
        <v>19.7</v>
      </c>
      <c r="P15" s="104">
        <f>E214</f>
        <v>10.722631645250694</v>
      </c>
      <c r="Q15" s="178">
        <f>Q10*0.0056-0.0045</f>
        <v>4.0968324534592952E-3</v>
      </c>
      <c r="R15" s="180">
        <f>(Q15/25)*1000</f>
        <v>0.16387329813837179</v>
      </c>
      <c r="S15" s="21"/>
    </row>
    <row r="16" spans="1:31" ht="15" thickBot="1" x14ac:dyDescent="0.45">
      <c r="A16" t="s">
        <v>4</v>
      </c>
      <c r="B16" s="20">
        <v>6.2119999999999997</v>
      </c>
      <c r="C16" s="16">
        <v>117.4</v>
      </c>
      <c r="D16" s="16"/>
      <c r="E16" s="24"/>
      <c r="F16" s="100">
        <f>C16/(C14+C15+C16)</f>
        <v>1.7995941869122293E-2</v>
      </c>
      <c r="G16" s="21"/>
      <c r="H16" s="21"/>
      <c r="I16" s="21"/>
      <c r="K16" s="168"/>
      <c r="L16" s="21"/>
      <c r="M16" s="169" t="s">
        <v>384</v>
      </c>
      <c r="N16" s="166">
        <f>((0.045*0.5*0.115)/44400)*2*1000</f>
        <v>1.1655405405405405E-4</v>
      </c>
      <c r="O16" s="101">
        <v>0.5</v>
      </c>
      <c r="P16" s="102">
        <f>E14</f>
        <v>1.4469761499148208</v>
      </c>
      <c r="Q16" s="170">
        <f>(P19-P16)/1.5</f>
        <v>2.1703161183570048</v>
      </c>
      <c r="R16" s="171">
        <f>Q16/(N16)</f>
        <v>18620.683218367347</v>
      </c>
      <c r="S16" s="21"/>
    </row>
    <row r="17" spans="1:20" ht="15" thickBot="1" x14ac:dyDescent="0.45">
      <c r="A17" s="1" t="s">
        <v>375</v>
      </c>
      <c r="B17" s="1"/>
      <c r="C17" s="1"/>
      <c r="D17" s="1"/>
      <c r="E17" s="1"/>
      <c r="F17" s="1"/>
      <c r="G17" s="60"/>
      <c r="H17" s="60"/>
      <c r="I17" s="60"/>
      <c r="K17" s="168"/>
      <c r="L17" s="21"/>
      <c r="M17" s="169"/>
      <c r="N17" s="166"/>
      <c r="O17" s="101">
        <v>1</v>
      </c>
      <c r="P17" s="102">
        <f>E55</f>
        <v>2.1693705572116486</v>
      </c>
      <c r="Q17" s="170"/>
      <c r="R17" s="171"/>
      <c r="S17" s="21"/>
    </row>
    <row r="18" spans="1:20" x14ac:dyDescent="0.4">
      <c r="A18" s="65" t="s">
        <v>0</v>
      </c>
      <c r="B18" s="66" t="s">
        <v>2</v>
      </c>
      <c r="C18" s="67" t="s">
        <v>1</v>
      </c>
      <c r="D18" s="67" t="s">
        <v>113</v>
      </c>
      <c r="E18" s="11" t="s">
        <v>69</v>
      </c>
      <c r="F18" s="65" t="s">
        <v>180</v>
      </c>
      <c r="G18" s="21"/>
      <c r="H18" s="21"/>
      <c r="I18" s="59"/>
      <c r="K18" s="168"/>
      <c r="L18" s="21"/>
      <c r="M18" s="169"/>
      <c r="N18" s="166"/>
      <c r="O18" s="101">
        <v>1.5</v>
      </c>
      <c r="P18" s="102">
        <f>E96</f>
        <v>3.4774925595238093</v>
      </c>
      <c r="Q18" s="170"/>
      <c r="R18" s="171"/>
      <c r="S18" s="21"/>
    </row>
    <row r="19" spans="1:20" x14ac:dyDescent="0.4">
      <c r="A19" s="65" t="s">
        <v>3</v>
      </c>
      <c r="B19" s="70">
        <v>3.1</v>
      </c>
      <c r="C19" s="71">
        <v>6342.64</v>
      </c>
      <c r="D19" s="72">
        <f>C19/C21</f>
        <v>55.882290748898683</v>
      </c>
      <c r="E19" s="74">
        <f>(D20+0.0045)/0.0056</f>
        <v>1.6314505978602896</v>
      </c>
      <c r="F19" s="97">
        <f>(C20/(C19+C20))</f>
        <v>8.2955417438061136E-5</v>
      </c>
      <c r="G19" s="106"/>
      <c r="H19" s="106"/>
      <c r="I19" s="59"/>
      <c r="K19" s="168"/>
      <c r="L19" s="21"/>
      <c r="M19" s="169"/>
      <c r="N19" s="166"/>
      <c r="O19" s="101">
        <v>2</v>
      </c>
      <c r="P19" s="102">
        <f>E137</f>
        <v>4.702450327450328</v>
      </c>
      <c r="Q19" s="170"/>
      <c r="R19" s="171"/>
      <c r="S19" s="21"/>
    </row>
    <row r="20" spans="1:20" x14ac:dyDescent="0.4">
      <c r="A20" s="65" t="s">
        <v>5</v>
      </c>
      <c r="B20" s="70">
        <v>4.83</v>
      </c>
      <c r="C20" s="71">
        <v>0.5262</v>
      </c>
      <c r="D20" s="31">
        <f>C20/C21</f>
        <v>4.6361233480176215E-3</v>
      </c>
      <c r="E20" s="74"/>
      <c r="F20" s="72"/>
      <c r="G20" s="59"/>
      <c r="H20" s="59"/>
      <c r="I20" s="59"/>
      <c r="K20" s="168"/>
      <c r="O20" s="101">
        <v>18.5</v>
      </c>
      <c r="P20" s="102">
        <f>E178</f>
        <v>20.064202102245584</v>
      </c>
      <c r="Q20" s="178" t="s">
        <v>429</v>
      </c>
      <c r="R20" s="179" t="s">
        <v>430</v>
      </c>
    </row>
    <row r="21" spans="1:20" ht="15" thickBot="1" x14ac:dyDescent="0.45">
      <c r="A21" s="65" t="s">
        <v>4</v>
      </c>
      <c r="B21" s="75">
        <v>6.2119999999999997</v>
      </c>
      <c r="C21" s="76">
        <v>113.5</v>
      </c>
      <c r="D21" s="76"/>
      <c r="E21" s="77"/>
      <c r="F21" s="100">
        <f>C21/(C19+C20+C21)</f>
        <v>1.7578731265370354E-2</v>
      </c>
      <c r="G21" s="59"/>
      <c r="H21" s="59"/>
      <c r="I21" s="59"/>
      <c r="K21" s="168"/>
      <c r="O21" s="101">
        <v>19.7</v>
      </c>
      <c r="P21" s="102">
        <f>E219</f>
        <v>20.128631961259082</v>
      </c>
      <c r="Q21" s="178">
        <f>Q16*0.0056-0.0045</f>
        <v>7.6537702627992267E-3</v>
      </c>
      <c r="R21" s="180">
        <f>(Q21/50)*1000</f>
        <v>0.15307540525598454</v>
      </c>
    </row>
    <row r="22" spans="1:20" ht="15" thickBot="1" x14ac:dyDescent="0.45">
      <c r="A22" s="1" t="s">
        <v>376</v>
      </c>
      <c r="B22" s="78"/>
      <c r="C22" s="78"/>
      <c r="D22" s="78"/>
      <c r="E22" s="78"/>
      <c r="F22" s="78"/>
      <c r="G22" s="87"/>
      <c r="H22" s="87"/>
      <c r="I22" s="87"/>
      <c r="K22" s="60"/>
      <c r="M22" s="172" t="s">
        <v>385</v>
      </c>
      <c r="N22" s="167">
        <f>((0.022*0.5*0.115)/44400)*2*1000</f>
        <v>5.6981981981981985E-5</v>
      </c>
      <c r="O22" s="103">
        <v>0.5</v>
      </c>
      <c r="P22" s="104">
        <f>E19</f>
        <v>1.6314505978602896</v>
      </c>
      <c r="Q22" s="173">
        <f>(P25-P22)/1.5</f>
        <v>1.2094994070630141</v>
      </c>
      <c r="R22" s="174">
        <f>Q22/(N22)</f>
        <v>21225.997499445781</v>
      </c>
    </row>
    <row r="23" spans="1:20" x14ac:dyDescent="0.4">
      <c r="A23" s="65" t="s">
        <v>0</v>
      </c>
      <c r="B23" s="66" t="s">
        <v>2</v>
      </c>
      <c r="C23" s="67" t="s">
        <v>1</v>
      </c>
      <c r="D23" s="67" t="s">
        <v>113</v>
      </c>
      <c r="E23" s="11" t="s">
        <v>69</v>
      </c>
      <c r="F23" s="65" t="s">
        <v>180</v>
      </c>
      <c r="G23" s="21"/>
      <c r="H23" s="21"/>
      <c r="I23" s="87"/>
      <c r="K23" s="60"/>
      <c r="M23" s="172"/>
      <c r="N23" s="167"/>
      <c r="O23" s="103">
        <v>1</v>
      </c>
      <c r="P23" s="104">
        <f>E60</f>
        <v>1.9272503265645411</v>
      </c>
      <c r="Q23" s="173"/>
      <c r="R23" s="174"/>
      <c r="S23" s="181" t="s">
        <v>431</v>
      </c>
      <c r="T23" s="180">
        <f>AVERAGE(R21,R27)</f>
        <v>0.12200163621904986</v>
      </c>
    </row>
    <row r="24" spans="1:20" x14ac:dyDescent="0.4">
      <c r="A24" s="65" t="s">
        <v>3</v>
      </c>
      <c r="B24" s="70">
        <v>3.14</v>
      </c>
      <c r="C24" s="59">
        <v>6764.39</v>
      </c>
      <c r="D24" s="72">
        <f>C24/C26</f>
        <v>55.129502852485736</v>
      </c>
      <c r="E24" s="74">
        <f>(D25+0.0045)/0.0056</f>
        <v>1.6316655023867734</v>
      </c>
      <c r="F24" s="97">
        <f>(C25/(C24+C25))</f>
        <v>8.4109896305358225E-5</v>
      </c>
      <c r="G24" s="106"/>
      <c r="H24" s="106"/>
      <c r="I24" s="87"/>
      <c r="M24" s="172"/>
      <c r="N24" s="167"/>
      <c r="O24" s="103">
        <v>1.5</v>
      </c>
      <c r="P24" s="104">
        <f>E101</f>
        <v>2.6066486804145748</v>
      </c>
      <c r="Q24" s="173"/>
      <c r="R24" s="174"/>
      <c r="S24" s="181" t="s">
        <v>432</v>
      </c>
      <c r="T24" s="178">
        <f>STDEV(R21,R27)</f>
        <v>4.3944945606082204E-2</v>
      </c>
    </row>
    <row r="25" spans="1:20" x14ac:dyDescent="0.4">
      <c r="A25" s="65" t="s">
        <v>5</v>
      </c>
      <c r="B25" s="70">
        <v>4.83</v>
      </c>
      <c r="C25" s="59">
        <v>0.56899999999999995</v>
      </c>
      <c r="D25" s="31">
        <f>C25/C26</f>
        <v>4.6373268133659325E-3</v>
      </c>
      <c r="E25" s="74"/>
      <c r="F25" s="65"/>
      <c r="G25" s="87"/>
      <c r="H25" s="87"/>
      <c r="I25" s="87"/>
      <c r="M25" s="172"/>
      <c r="N25" s="167"/>
      <c r="O25" s="103">
        <v>2</v>
      </c>
      <c r="P25" s="104">
        <f>E142</f>
        <v>3.4456997084548107</v>
      </c>
      <c r="Q25" s="173"/>
      <c r="R25" s="174"/>
    </row>
    <row r="26" spans="1:20" ht="15" thickBot="1" x14ac:dyDescent="0.45">
      <c r="A26" s="65" t="s">
        <v>4</v>
      </c>
      <c r="B26" s="75">
        <v>6.2119999999999997</v>
      </c>
      <c r="C26" s="76">
        <v>122.7</v>
      </c>
      <c r="D26" s="76"/>
      <c r="E26" s="77"/>
      <c r="F26" s="100">
        <f>C26/(C24+C25+C26)</f>
        <v>1.781447078027527E-2</v>
      </c>
      <c r="G26" s="87"/>
      <c r="H26" s="87"/>
      <c r="I26" s="87"/>
      <c r="O26" s="103">
        <v>18.5</v>
      </c>
      <c r="P26" s="104">
        <f>E183</f>
        <v>10.101221887171754</v>
      </c>
      <c r="Q26" s="178" t="s">
        <v>429</v>
      </c>
      <c r="R26" s="179" t="s">
        <v>430</v>
      </c>
    </row>
    <row r="27" spans="1:20" ht="15" thickBot="1" x14ac:dyDescent="0.45">
      <c r="A27" s="1" t="s">
        <v>377</v>
      </c>
      <c r="B27" s="78"/>
      <c r="C27" s="78"/>
      <c r="D27" s="78"/>
      <c r="E27" s="78"/>
      <c r="F27" s="79"/>
      <c r="G27" s="87"/>
      <c r="H27" s="87"/>
      <c r="I27" s="87"/>
      <c r="O27" s="103">
        <v>19.7</v>
      </c>
      <c r="P27" s="104">
        <f>E224</f>
        <v>10.113434163701067</v>
      </c>
      <c r="Q27" s="178">
        <f>Q22*0.0056-0.0045</f>
        <v>2.2731966795528791E-3</v>
      </c>
      <c r="R27" s="180">
        <f>(Q27/25)*1000</f>
        <v>9.0927867182115166E-2</v>
      </c>
    </row>
    <row r="28" spans="1:20" x14ac:dyDescent="0.4">
      <c r="A28" t="s">
        <v>0</v>
      </c>
      <c r="B28" s="66" t="s">
        <v>2</v>
      </c>
      <c r="C28" s="67" t="s">
        <v>1</v>
      </c>
      <c r="D28" s="67" t="s">
        <v>113</v>
      </c>
      <c r="E28" s="11" t="s">
        <v>69</v>
      </c>
      <c r="F28" s="65" t="s">
        <v>180</v>
      </c>
      <c r="G28" s="21"/>
      <c r="H28" s="21"/>
      <c r="I28" s="21"/>
      <c r="M28" s="169" t="s">
        <v>386</v>
      </c>
      <c r="N28" s="166">
        <f>((0.044*0.5*0.17)/44400)*2*1000</f>
        <v>1.6846846846846846E-4</v>
      </c>
      <c r="O28" s="101">
        <v>0.5</v>
      </c>
      <c r="P28" s="102">
        <f>E24</f>
        <v>1.6316655023867734</v>
      </c>
      <c r="Q28" s="170">
        <f>(P31-P28)/1.5</f>
        <v>2.591538474599294</v>
      </c>
      <c r="R28" s="171">
        <f>Q28/(N28)</f>
        <v>15382.92891339688</v>
      </c>
    </row>
    <row r="29" spans="1:20" x14ac:dyDescent="0.4">
      <c r="A29" t="s">
        <v>3</v>
      </c>
      <c r="B29" s="18">
        <v>3.1</v>
      </c>
      <c r="C29" s="59">
        <v>6342</v>
      </c>
      <c r="D29" s="8">
        <f>C29/C31</f>
        <v>54.020442930153322</v>
      </c>
      <c r="E29" s="74">
        <f>(D30+0.0045)/0.0056</f>
        <v>1.4180761742516426</v>
      </c>
      <c r="F29" s="97">
        <f>(C30/(C29+C30))</f>
        <v>6.3698244388090073E-5</v>
      </c>
      <c r="G29" s="106"/>
      <c r="H29" s="106"/>
      <c r="I29" s="21"/>
      <c r="M29" s="169"/>
      <c r="N29" s="166"/>
      <c r="O29" s="101">
        <v>1</v>
      </c>
      <c r="P29" s="102">
        <f>E65</f>
        <v>2.595268006700167</v>
      </c>
      <c r="Q29" s="170"/>
      <c r="R29" s="171"/>
    </row>
    <row r="30" spans="1:20" x14ac:dyDescent="0.4">
      <c r="A30" t="s">
        <v>5</v>
      </c>
      <c r="B30" s="18">
        <v>4.83</v>
      </c>
      <c r="C30" s="59">
        <v>0.40400000000000003</v>
      </c>
      <c r="D30" s="32">
        <f>C30/C31</f>
        <v>3.4412265758091993E-3</v>
      </c>
      <c r="E30" s="13"/>
      <c r="F30" s="94"/>
      <c r="G30" s="21"/>
      <c r="H30" s="21"/>
      <c r="I30" s="21"/>
      <c r="M30" s="169"/>
      <c r="N30" s="166"/>
      <c r="O30" s="101">
        <v>1.5</v>
      </c>
      <c r="P30" s="102">
        <f>E106</f>
        <v>4.2629551820728295</v>
      </c>
      <c r="Q30" s="170"/>
      <c r="R30" s="171"/>
    </row>
    <row r="31" spans="1:20" ht="15" thickBot="1" x14ac:dyDescent="0.45">
      <c r="A31" t="s">
        <v>4</v>
      </c>
      <c r="B31" s="20">
        <v>6.2119999999999997</v>
      </c>
      <c r="C31" s="16">
        <v>117.4</v>
      </c>
      <c r="D31" s="16"/>
      <c r="E31" s="24"/>
      <c r="F31" s="100">
        <f>C31/(C29+C30+C31)</f>
        <v>1.817392602004643E-2</v>
      </c>
      <c r="G31" s="21"/>
      <c r="H31" s="21"/>
      <c r="I31" s="21"/>
      <c r="M31" s="169"/>
      <c r="N31" s="166"/>
      <c r="O31" s="101">
        <v>2</v>
      </c>
      <c r="P31" s="102">
        <f>E147</f>
        <v>5.5189732142857144</v>
      </c>
      <c r="Q31" s="170"/>
      <c r="R31" s="171"/>
    </row>
    <row r="32" spans="1:20" ht="15" thickBot="1" x14ac:dyDescent="0.45">
      <c r="A32" s="1" t="s">
        <v>378</v>
      </c>
      <c r="B32" s="1"/>
      <c r="C32" s="1"/>
      <c r="D32" s="1"/>
      <c r="E32" s="1"/>
      <c r="F32" s="1"/>
      <c r="G32" s="60"/>
      <c r="H32" s="60"/>
      <c r="I32" s="60"/>
      <c r="O32" s="101">
        <v>18.5</v>
      </c>
      <c r="P32" s="102">
        <f>E188</f>
        <v>25.605158730158731</v>
      </c>
      <c r="Q32" s="178" t="s">
        <v>429</v>
      </c>
      <c r="R32" s="179" t="s">
        <v>430</v>
      </c>
    </row>
    <row r="33" spans="1:36" x14ac:dyDescent="0.4">
      <c r="A33" s="65" t="s">
        <v>0</v>
      </c>
      <c r="B33" s="66" t="s">
        <v>2</v>
      </c>
      <c r="C33" s="67" t="s">
        <v>1</v>
      </c>
      <c r="D33" s="67" t="s">
        <v>113</v>
      </c>
      <c r="E33" s="11" t="s">
        <v>69</v>
      </c>
      <c r="F33" s="65" t="s">
        <v>180</v>
      </c>
      <c r="G33" s="21"/>
      <c r="H33" s="21"/>
      <c r="I33" s="59"/>
      <c r="O33" s="101">
        <v>19.7</v>
      </c>
      <c r="P33" s="102">
        <f>E229</f>
        <v>25.677346302346304</v>
      </c>
      <c r="Q33" s="178">
        <f>Q28*0.0056-0.0045</f>
        <v>1.0012615457756047E-2</v>
      </c>
      <c r="R33" s="180">
        <f>(Q33/50)*1000</f>
        <v>0.20025230915512096</v>
      </c>
    </row>
    <row r="34" spans="1:36" x14ac:dyDescent="0.4">
      <c r="A34" s="65" t="s">
        <v>3</v>
      </c>
      <c r="B34" s="70">
        <v>3.1</v>
      </c>
      <c r="C34" s="71">
        <v>6514</v>
      </c>
      <c r="D34" s="72">
        <f>C34/C36</f>
        <v>54.419381787802841</v>
      </c>
      <c r="E34" s="74">
        <f>(D35+0.0045)/0.0056</f>
        <v>1.1824949277956796</v>
      </c>
      <c r="F34" s="97">
        <f>(C35/(C34+C35))</f>
        <v>3.8991417896815202E-5</v>
      </c>
      <c r="G34" s="106"/>
      <c r="H34" s="106"/>
      <c r="I34" s="59"/>
      <c r="M34" s="172" t="s">
        <v>387</v>
      </c>
      <c r="N34" s="167">
        <f>((0.022*0.5*0.17)/44400)*2*1000</f>
        <v>8.4234234234234229E-5</v>
      </c>
      <c r="O34" s="103">
        <v>0.5</v>
      </c>
      <c r="P34" s="104">
        <f>E29</f>
        <v>1.4180761742516426</v>
      </c>
      <c r="Q34" s="173">
        <f>(P37-P34)/1.5</f>
        <v>1.909561082650179</v>
      </c>
      <c r="R34" s="174">
        <f>Q34/(N34)</f>
        <v>22669.655633601058</v>
      </c>
    </row>
    <row r="35" spans="1:36" x14ac:dyDescent="0.4">
      <c r="A35" s="65" t="s">
        <v>5</v>
      </c>
      <c r="B35" s="70">
        <v>4.83</v>
      </c>
      <c r="C35" s="71">
        <v>0.254</v>
      </c>
      <c r="D35" s="31">
        <f>C35/C36</f>
        <v>2.1219715956558062E-3</v>
      </c>
      <c r="E35" s="74"/>
      <c r="F35" s="72"/>
      <c r="G35" s="59"/>
      <c r="H35" s="59"/>
      <c r="I35" s="59"/>
      <c r="M35" s="172"/>
      <c r="N35" s="167"/>
      <c r="O35" s="103">
        <v>1</v>
      </c>
      <c r="P35" s="104">
        <f>E70</f>
        <v>2.0370768789443487</v>
      </c>
      <c r="Q35" s="173"/>
      <c r="R35" s="174"/>
      <c r="S35" s="181" t="s">
        <v>431</v>
      </c>
      <c r="T35" s="180">
        <f>AVERAGE(R33,R39)</f>
        <v>0.22399699583438054</v>
      </c>
    </row>
    <row r="36" spans="1:36" ht="15" thickBot="1" x14ac:dyDescent="0.45">
      <c r="A36" s="65" t="s">
        <v>4</v>
      </c>
      <c r="B36" s="75">
        <v>6.2119999999999997</v>
      </c>
      <c r="C36" s="76">
        <v>119.7</v>
      </c>
      <c r="D36" s="76"/>
      <c r="E36" s="77"/>
      <c r="F36" s="100">
        <f>C36/(C34+C35+C36)</f>
        <v>1.804353783580652E-2</v>
      </c>
      <c r="G36" s="59"/>
      <c r="H36" s="59"/>
      <c r="I36" s="59"/>
      <c r="M36" s="172"/>
      <c r="N36" s="167"/>
      <c r="O36" s="103">
        <v>1.5</v>
      </c>
      <c r="P36" s="104">
        <f>E111</f>
        <v>3.1956497552291943</v>
      </c>
      <c r="Q36" s="173"/>
      <c r="R36" s="174"/>
      <c r="S36" s="181" t="s">
        <v>432</v>
      </c>
      <c r="T36" s="178">
        <f>STDEV(R33,R39)</f>
        <v>3.3580057936108756E-2</v>
      </c>
    </row>
    <row r="37" spans="1:36" ht="15" thickBot="1" x14ac:dyDescent="0.45">
      <c r="A37" s="1" t="s">
        <v>379</v>
      </c>
      <c r="B37" s="78"/>
      <c r="C37" s="78"/>
      <c r="D37" s="78"/>
      <c r="E37" s="78"/>
      <c r="F37" s="78"/>
      <c r="G37" s="87"/>
      <c r="H37" s="87"/>
      <c r="I37" s="87"/>
      <c r="M37" s="172"/>
      <c r="N37" s="167"/>
      <c r="O37" s="103">
        <v>2</v>
      </c>
      <c r="P37" s="104">
        <f>E152</f>
        <v>4.2824177982269109</v>
      </c>
      <c r="Q37" s="173"/>
      <c r="R37" s="174"/>
      <c r="U37" s="136"/>
      <c r="V37" s="136" t="s">
        <v>411</v>
      </c>
      <c r="W37" s="136" t="s">
        <v>412</v>
      </c>
      <c r="X37" s="136" t="s">
        <v>413</v>
      </c>
      <c r="AG37" s="136"/>
      <c r="AH37" s="136" t="s">
        <v>411</v>
      </c>
      <c r="AI37" s="136" t="s">
        <v>412</v>
      </c>
      <c r="AJ37" s="136" t="s">
        <v>413</v>
      </c>
    </row>
    <row r="38" spans="1:36" x14ac:dyDescent="0.4">
      <c r="A38" s="65" t="s">
        <v>0</v>
      </c>
      <c r="B38" s="66" t="s">
        <v>2</v>
      </c>
      <c r="C38" s="67" t="s">
        <v>1</v>
      </c>
      <c r="D38" s="67" t="s">
        <v>113</v>
      </c>
      <c r="E38" s="11" t="s">
        <v>69</v>
      </c>
      <c r="F38" s="65" t="s">
        <v>180</v>
      </c>
      <c r="G38" s="21"/>
      <c r="H38" s="21"/>
      <c r="I38" s="87"/>
      <c r="O38" s="103">
        <v>18.5</v>
      </c>
      <c r="P38" s="104">
        <f>E193</f>
        <v>15.147305312016504</v>
      </c>
      <c r="Q38" s="178" t="s">
        <v>429</v>
      </c>
      <c r="R38" s="179" t="s">
        <v>430</v>
      </c>
      <c r="U38" s="136">
        <v>0.5</v>
      </c>
      <c r="V38" s="136">
        <v>1.4372119815668203</v>
      </c>
      <c r="W38" s="136">
        <v>1.6316655023867734</v>
      </c>
      <c r="X38" s="136">
        <v>1.4469761499148208</v>
      </c>
      <c r="AG38" s="136">
        <v>0.5</v>
      </c>
      <c r="AH38" s="136">
        <v>1.1062348668280872</v>
      </c>
      <c r="AI38" s="136">
        <v>1.4180761742516426</v>
      </c>
      <c r="AJ38" s="136">
        <v>1.6314505978602896</v>
      </c>
    </row>
    <row r="39" spans="1:36" x14ac:dyDescent="0.4">
      <c r="A39" s="65" t="s">
        <v>3</v>
      </c>
      <c r="B39" s="70">
        <v>3.14</v>
      </c>
      <c r="C39" s="59">
        <v>6550.8</v>
      </c>
      <c r="D39" s="72">
        <f>C39/C41</f>
        <v>54.59</v>
      </c>
      <c r="E39" s="74">
        <f>(D40+0.0045)/0.0056</f>
        <v>0.80357142857142849</v>
      </c>
      <c r="F39" s="97">
        <f>(C40/(C39+C40))</f>
        <v>0</v>
      </c>
      <c r="G39" s="106"/>
      <c r="H39" s="106"/>
      <c r="I39" s="87"/>
      <c r="O39" s="103">
        <v>19.7</v>
      </c>
      <c r="P39" s="104">
        <f>E234</f>
        <v>15.429132783104748</v>
      </c>
      <c r="Q39" s="178">
        <f>Q34*0.0056-0.0045</f>
        <v>6.1935420628410022E-3</v>
      </c>
      <c r="R39" s="180">
        <f>(Q39/25)*1000</f>
        <v>0.24774168251364012</v>
      </c>
      <c r="U39" s="136">
        <v>1</v>
      </c>
      <c r="V39" s="136">
        <v>2.3054337378349152</v>
      </c>
      <c r="W39" s="136">
        <v>2.595268006700167</v>
      </c>
      <c r="X39" s="136">
        <v>2.1693705572116486</v>
      </c>
      <c r="AG39" s="136">
        <v>1</v>
      </c>
      <c r="AH39" s="136">
        <v>1.7865616911130284</v>
      </c>
      <c r="AI39" s="136">
        <v>2.0370768789443487</v>
      </c>
      <c r="AJ39" s="136">
        <v>1.9272503265645411</v>
      </c>
    </row>
    <row r="40" spans="1:36" x14ac:dyDescent="0.4">
      <c r="A40" s="65" t="s">
        <v>5</v>
      </c>
      <c r="B40" s="70">
        <v>4.83</v>
      </c>
      <c r="C40" s="59">
        <v>0</v>
      </c>
      <c r="D40" s="31">
        <f>C40/C41</f>
        <v>0</v>
      </c>
      <c r="E40" s="74"/>
      <c r="F40" s="65"/>
      <c r="G40" s="87"/>
      <c r="H40" s="87"/>
      <c r="I40" s="87"/>
      <c r="M40" s="169" t="s">
        <v>388</v>
      </c>
      <c r="N40" s="166">
        <f>((0.00195*2.86)/44400)*2*1000</f>
        <v>2.5121621621621622E-4</v>
      </c>
      <c r="O40" s="101">
        <v>0.5</v>
      </c>
      <c r="P40" s="102">
        <f>E34</f>
        <v>1.1824949277956796</v>
      </c>
      <c r="Q40" s="170">
        <f>(P43-P40)/1.5</f>
        <v>1.542256128722294</v>
      </c>
      <c r="R40" s="171">
        <f>Q40/(N40)</f>
        <v>6139.1583391850327</v>
      </c>
      <c r="U40" s="136">
        <v>1.5</v>
      </c>
      <c r="V40" s="136">
        <v>3.4765450067174206</v>
      </c>
      <c r="W40" s="136">
        <v>4.2629551820728295</v>
      </c>
      <c r="X40" s="136">
        <v>3.4774925595238093</v>
      </c>
      <c r="AG40" s="136">
        <v>1.5</v>
      </c>
      <c r="AH40" s="136">
        <v>2.5665377616014555</v>
      </c>
      <c r="AI40" s="136">
        <v>3.1956497552291943</v>
      </c>
      <c r="AJ40" s="136">
        <v>2.6066486804145748</v>
      </c>
    </row>
    <row r="41" spans="1:36" ht="15" thickBot="1" x14ac:dyDescent="0.45">
      <c r="A41" s="65" t="s">
        <v>4</v>
      </c>
      <c r="B41" s="75">
        <v>6.2119999999999997</v>
      </c>
      <c r="C41" s="76">
        <v>120</v>
      </c>
      <c r="D41" s="76"/>
      <c r="E41" s="77"/>
      <c r="F41" s="100">
        <f>C41/(C39+C40+C41)</f>
        <v>1.7988846914912753E-2</v>
      </c>
      <c r="G41" s="87"/>
      <c r="H41" s="87"/>
      <c r="I41" s="87"/>
      <c r="M41" s="169"/>
      <c r="N41" s="166"/>
      <c r="O41" s="101">
        <v>1</v>
      </c>
      <c r="P41" s="102">
        <f>E75</f>
        <v>1.7544781070322866</v>
      </c>
      <c r="Q41" s="170"/>
      <c r="R41" s="171"/>
      <c r="U41" s="136">
        <v>2</v>
      </c>
      <c r="V41" s="136">
        <v>4.795966865833786</v>
      </c>
      <c r="W41" s="136">
        <v>5.5189732142857144</v>
      </c>
      <c r="X41" s="136">
        <v>4.702450327450328</v>
      </c>
      <c r="AG41" s="136">
        <v>2</v>
      </c>
      <c r="AH41" s="136">
        <v>3.4089578454332554</v>
      </c>
      <c r="AI41" s="136">
        <v>4.2824177982269109</v>
      </c>
      <c r="AJ41" s="136">
        <v>3.4456997084548107</v>
      </c>
    </row>
    <row r="42" spans="1:36" x14ac:dyDescent="0.4">
      <c r="A42" s="4" t="s">
        <v>381</v>
      </c>
      <c r="B42" s="4"/>
      <c r="C42" s="4"/>
      <c r="D42" s="4"/>
      <c r="E42" s="4"/>
      <c r="F42" s="4"/>
      <c r="G42" s="4"/>
      <c r="H42" s="4"/>
      <c r="I42" s="4"/>
      <c r="M42" s="169"/>
      <c r="N42" s="166"/>
      <c r="O42" s="101">
        <v>1.5</v>
      </c>
      <c r="P42" s="102">
        <f>E116</f>
        <v>2.589285714285714</v>
      </c>
      <c r="Q42" s="170"/>
      <c r="R42" s="171"/>
      <c r="U42" s="137">
        <v>18.5</v>
      </c>
      <c r="V42" s="136">
        <v>17.360887595939587</v>
      </c>
      <c r="W42" s="136">
        <v>25.605158730158731</v>
      </c>
      <c r="X42" s="136">
        <v>20.064202102245584</v>
      </c>
      <c r="AG42" s="137">
        <v>18.5</v>
      </c>
      <c r="AH42" s="136">
        <v>10.51906779661017</v>
      </c>
      <c r="AI42" s="136">
        <v>15.147305312016504</v>
      </c>
      <c r="AJ42" s="136">
        <v>10.101221887171754</v>
      </c>
    </row>
    <row r="43" spans="1:36" ht="15" thickBot="1" x14ac:dyDescent="0.45">
      <c r="A43" s="1" t="s">
        <v>372</v>
      </c>
      <c r="B43" s="1"/>
      <c r="C43" s="1"/>
      <c r="D43" s="1"/>
      <c r="E43" s="1"/>
      <c r="F43" s="1"/>
      <c r="G43" s="60"/>
      <c r="H43" s="60"/>
      <c r="I43" s="60"/>
      <c r="M43" s="169"/>
      <c r="N43" s="166"/>
      <c r="O43" s="101">
        <v>2</v>
      </c>
      <c r="P43" s="102">
        <f>E157</f>
        <v>3.4958791208791204</v>
      </c>
      <c r="Q43" s="170"/>
      <c r="R43" s="171"/>
      <c r="U43" s="137">
        <v>19.7</v>
      </c>
      <c r="V43" s="136">
        <v>17.302812171475299</v>
      </c>
      <c r="W43" s="136">
        <v>25.677346302346304</v>
      </c>
      <c r="X43" s="136">
        <v>20.128631961259082</v>
      </c>
      <c r="AG43" s="137">
        <v>19.7</v>
      </c>
      <c r="AH43" s="136">
        <v>10.722631645250694</v>
      </c>
      <c r="AI43" s="136">
        <v>15.429132783104748</v>
      </c>
      <c r="AJ43" s="136">
        <v>10.113434163701067</v>
      </c>
    </row>
    <row r="44" spans="1:36" x14ac:dyDescent="0.4">
      <c r="A44" s="65" t="s">
        <v>0</v>
      </c>
      <c r="B44" s="66" t="s">
        <v>2</v>
      </c>
      <c r="C44" s="67" t="s">
        <v>1</v>
      </c>
      <c r="D44" s="67" t="s">
        <v>113</v>
      </c>
      <c r="E44" s="11" t="s">
        <v>69</v>
      </c>
      <c r="F44" s="65" t="s">
        <v>180</v>
      </c>
      <c r="G44" s="21"/>
      <c r="H44" s="21"/>
      <c r="I44" s="59"/>
      <c r="O44" s="101">
        <v>18.5</v>
      </c>
      <c r="P44" s="102">
        <f>E198</f>
        <v>12.529761904761905</v>
      </c>
      <c r="Q44" s="178" t="s">
        <v>429</v>
      </c>
      <c r="R44" s="179" t="s">
        <v>430</v>
      </c>
    </row>
    <row r="45" spans="1:36" x14ac:dyDescent="0.4">
      <c r="A45" s="65" t="s">
        <v>3</v>
      </c>
      <c r="B45" s="70">
        <v>3.1</v>
      </c>
      <c r="C45" s="71">
        <v>6542.7</v>
      </c>
      <c r="D45" s="72">
        <f>C45/C47</f>
        <v>55.026913372581994</v>
      </c>
      <c r="E45" s="74">
        <f>(D46+0.0045)/0.0056</f>
        <v>2.3054337378349152</v>
      </c>
      <c r="F45" s="97">
        <f>(C46/(C45+C46))</f>
        <v>1.5281874169048094E-4</v>
      </c>
      <c r="G45" s="106"/>
      <c r="H45" s="106"/>
      <c r="I45" s="59"/>
      <c r="O45" s="101">
        <v>19.7</v>
      </c>
      <c r="P45" s="102">
        <f>E239</f>
        <v>12.562390542907181</v>
      </c>
      <c r="Q45" s="178">
        <f>Q40*0.0056-0.0045</f>
        <v>4.1366343208448465E-3</v>
      </c>
      <c r="R45" s="180">
        <f>(Q45/50)*1000</f>
        <v>8.2732686416896933E-2</v>
      </c>
    </row>
    <row r="46" spans="1:36" x14ac:dyDescent="0.4">
      <c r="A46" s="65" t="s">
        <v>5</v>
      </c>
      <c r="B46" s="70">
        <v>4.83</v>
      </c>
      <c r="C46" s="71">
        <v>1</v>
      </c>
      <c r="D46" s="31">
        <f>C46/C47</f>
        <v>8.4104289318755257E-3</v>
      </c>
      <c r="E46" s="74"/>
      <c r="F46" s="72"/>
      <c r="G46" s="59"/>
      <c r="H46" s="59"/>
      <c r="I46" s="59"/>
      <c r="M46" s="172" t="s">
        <v>389</v>
      </c>
      <c r="N46" s="167">
        <f>((0.00078*2.86)/44400)*2*1000</f>
        <v>1.0048648648648647E-4</v>
      </c>
      <c r="O46" s="103">
        <v>0.5</v>
      </c>
      <c r="P46" s="104">
        <f>E39</f>
        <v>0.80357142857142849</v>
      </c>
      <c r="Q46" s="173">
        <f>(P49-P46)/1.5</f>
        <v>0.94868695009738746</v>
      </c>
      <c r="R46" s="174">
        <f>Q46/(N46)</f>
        <v>9440.940600753991</v>
      </c>
    </row>
    <row r="47" spans="1:36" ht="15" thickBot="1" x14ac:dyDescent="0.45">
      <c r="A47" s="65" t="s">
        <v>4</v>
      </c>
      <c r="B47" s="75">
        <v>6.2119999999999997</v>
      </c>
      <c r="C47" s="76">
        <v>118.9</v>
      </c>
      <c r="D47" s="76"/>
      <c r="E47" s="77"/>
      <c r="F47" s="100">
        <f>C47/(C45+C46+C47)</f>
        <v>1.7845885990454179E-2</v>
      </c>
      <c r="G47" s="59"/>
      <c r="H47" s="59"/>
      <c r="I47" s="59"/>
      <c r="M47" s="172"/>
      <c r="N47" s="167"/>
      <c r="O47" s="103">
        <v>1</v>
      </c>
      <c r="P47" s="104">
        <f>E80</f>
        <v>1.3842560251484457</v>
      </c>
      <c r="Q47" s="173"/>
      <c r="R47" s="174"/>
      <c r="S47" s="181" t="s">
        <v>431</v>
      </c>
      <c r="T47" s="180">
        <f>AVERAGE(R45,R51)</f>
        <v>5.7619281619355867E-2</v>
      </c>
    </row>
    <row r="48" spans="1:36" ht="15" thickBot="1" x14ac:dyDescent="0.45">
      <c r="A48" s="1" t="s">
        <v>373</v>
      </c>
      <c r="B48" s="78"/>
      <c r="C48" s="78"/>
      <c r="D48" s="78"/>
      <c r="E48" s="78"/>
      <c r="F48" s="78"/>
      <c r="G48" s="87"/>
      <c r="H48" s="87"/>
      <c r="I48" s="87"/>
      <c r="M48" s="172"/>
      <c r="N48" s="167"/>
      <c r="O48" s="103">
        <v>1.5</v>
      </c>
      <c r="P48" s="104">
        <f>E121</f>
        <v>1.7886452018757861</v>
      </c>
      <c r="Q48" s="173"/>
      <c r="R48" s="174"/>
      <c r="S48" s="181" t="s">
        <v>432</v>
      </c>
      <c r="T48" s="178">
        <f>STDEV(R45,R51)</f>
        <v>3.5515717662048148E-2</v>
      </c>
    </row>
    <row r="49" spans="1:18" x14ac:dyDescent="0.4">
      <c r="A49" s="65" t="s">
        <v>0</v>
      </c>
      <c r="B49" s="66" t="s">
        <v>2</v>
      </c>
      <c r="C49" s="67" t="s">
        <v>1</v>
      </c>
      <c r="D49" s="67" t="s">
        <v>113</v>
      </c>
      <c r="E49" s="11" t="s">
        <v>69</v>
      </c>
      <c r="F49" s="65" t="s">
        <v>180</v>
      </c>
      <c r="G49" s="21"/>
      <c r="H49" s="21"/>
      <c r="I49" s="87"/>
      <c r="M49" s="172"/>
      <c r="N49" s="167"/>
      <c r="O49" s="103">
        <v>2</v>
      </c>
      <c r="P49" s="104">
        <f>E162</f>
        <v>2.2266018537175096</v>
      </c>
      <c r="Q49" s="173"/>
      <c r="R49" s="174"/>
    </row>
    <row r="50" spans="1:18" x14ac:dyDescent="0.4">
      <c r="A50" s="65" t="s">
        <v>3</v>
      </c>
      <c r="B50" s="70">
        <v>3.14</v>
      </c>
      <c r="C50" s="59">
        <v>6337.19</v>
      </c>
      <c r="D50" s="72">
        <f>C50/C52</f>
        <v>54.678084555651417</v>
      </c>
      <c r="E50" s="74">
        <f>(D51+0.0045)/0.0056</f>
        <v>1.7865616911130284</v>
      </c>
      <c r="F50" s="97">
        <f>(C51/(C50+C51))</f>
        <v>1.0066540145930121E-4</v>
      </c>
      <c r="G50" s="106"/>
      <c r="H50" s="106"/>
      <c r="I50" s="87"/>
      <c r="O50" s="103">
        <v>18.5</v>
      </c>
      <c r="P50" s="104">
        <f>E203</f>
        <v>4.9495084103293054</v>
      </c>
      <c r="Q50" s="178" t="s">
        <v>429</v>
      </c>
      <c r="R50" s="179" t="s">
        <v>430</v>
      </c>
    </row>
    <row r="51" spans="1:18" x14ac:dyDescent="0.4">
      <c r="A51" s="65" t="s">
        <v>5</v>
      </c>
      <c r="B51" s="70">
        <v>4.83</v>
      </c>
      <c r="C51" s="59">
        <v>0.63800000000000001</v>
      </c>
      <c r="D51" s="31">
        <f>C51/C52</f>
        <v>5.5047454702329595E-3</v>
      </c>
      <c r="E51" s="74"/>
      <c r="F51" s="65"/>
      <c r="G51" s="87"/>
      <c r="H51" s="87"/>
      <c r="I51" s="87"/>
      <c r="O51" s="103">
        <v>19.7</v>
      </c>
      <c r="P51" s="104">
        <f>E244</f>
        <v>4.9129557680812912</v>
      </c>
      <c r="Q51" s="178">
        <f>Q46*0.0056-0.0045</f>
        <v>8.1264692054537017E-4</v>
      </c>
      <c r="R51" s="180">
        <f>(Q51/25)*1000</f>
        <v>3.2505876821814807E-2</v>
      </c>
    </row>
    <row r="52" spans="1:18" ht="15" thickBot="1" x14ac:dyDescent="0.45">
      <c r="A52" s="65" t="s">
        <v>4</v>
      </c>
      <c r="B52" s="75">
        <v>6.2119999999999997</v>
      </c>
      <c r="C52" s="76">
        <v>115.9</v>
      </c>
      <c r="D52" s="76"/>
      <c r="E52" s="77"/>
      <c r="F52" s="100">
        <f>C52/(C50+C51+C52)</f>
        <v>1.7958612448494889E-2</v>
      </c>
      <c r="G52" s="87"/>
      <c r="H52" s="87"/>
      <c r="I52" s="87"/>
    </row>
    <row r="53" spans="1:18" ht="15" thickBot="1" x14ac:dyDescent="0.45">
      <c r="A53" s="1" t="s">
        <v>374</v>
      </c>
      <c r="B53" s="78"/>
      <c r="C53" s="78"/>
      <c r="D53" s="78"/>
      <c r="E53" s="78"/>
      <c r="F53" s="79"/>
      <c r="G53" s="87"/>
      <c r="H53" s="87"/>
      <c r="I53" s="87"/>
    </row>
    <row r="54" spans="1:18" x14ac:dyDescent="0.4">
      <c r="A54" t="s">
        <v>0</v>
      </c>
      <c r="B54" s="66" t="s">
        <v>2</v>
      </c>
      <c r="C54" s="67" t="s">
        <v>1</v>
      </c>
      <c r="D54" s="67" t="s">
        <v>113</v>
      </c>
      <c r="E54" s="11" t="s">
        <v>69</v>
      </c>
      <c r="F54" s="65" t="s">
        <v>180</v>
      </c>
      <c r="G54" s="21"/>
      <c r="H54" s="21"/>
      <c r="I54" s="21"/>
    </row>
    <row r="55" spans="1:18" x14ac:dyDescent="0.4">
      <c r="A55" t="s">
        <v>3</v>
      </c>
      <c r="B55" s="18">
        <v>3.1</v>
      </c>
      <c r="C55" s="59">
        <v>6695.54</v>
      </c>
      <c r="D55" s="8">
        <f>C55/C57</f>
        <v>53.736276083467096</v>
      </c>
      <c r="E55" s="74">
        <f>(D56+0.0045)/0.0056</f>
        <v>2.1693705572116486</v>
      </c>
      <c r="F55" s="97">
        <f>(C56/(C55+C56))</f>
        <v>1.4231329742299439E-4</v>
      </c>
      <c r="G55" s="106"/>
      <c r="H55" s="106"/>
      <c r="I55" s="21"/>
    </row>
    <row r="56" spans="1:18" x14ac:dyDescent="0.4">
      <c r="A56" t="s">
        <v>5</v>
      </c>
      <c r="B56" s="18">
        <v>4.83</v>
      </c>
      <c r="C56" s="59">
        <v>0.95299999999999996</v>
      </c>
      <c r="D56" s="32">
        <f>C56/C57</f>
        <v>7.6484751203852331E-3</v>
      </c>
      <c r="E56" s="13"/>
      <c r="F56" s="94"/>
      <c r="G56" s="21"/>
      <c r="H56" s="21"/>
      <c r="I56" s="21"/>
    </row>
    <row r="57" spans="1:18" ht="15" thickBot="1" x14ac:dyDescent="0.45">
      <c r="A57" t="s">
        <v>4</v>
      </c>
      <c r="B57" s="20">
        <v>6.2119999999999997</v>
      </c>
      <c r="C57" s="16">
        <v>124.6</v>
      </c>
      <c r="D57" s="16"/>
      <c r="E57" s="24"/>
      <c r="F57" s="100">
        <f>C57/(C55+C56+C57)</f>
        <v>1.8266867201488086E-2</v>
      </c>
      <c r="G57" s="21"/>
      <c r="H57" s="21"/>
      <c r="I57" s="21"/>
    </row>
    <row r="58" spans="1:18" ht="15" thickBot="1" x14ac:dyDescent="0.45">
      <c r="A58" s="1" t="s">
        <v>375</v>
      </c>
      <c r="B58" s="1"/>
      <c r="C58" s="1"/>
      <c r="D58" s="1"/>
      <c r="E58" s="1"/>
      <c r="F58" s="1"/>
      <c r="G58" s="60"/>
      <c r="H58" s="60"/>
      <c r="I58" s="60"/>
    </row>
    <row r="59" spans="1:18" x14ac:dyDescent="0.4">
      <c r="A59" s="65" t="s">
        <v>0</v>
      </c>
      <c r="B59" s="66" t="s">
        <v>2</v>
      </c>
      <c r="C59" s="67" t="s">
        <v>1</v>
      </c>
      <c r="D59" s="67" t="s">
        <v>113</v>
      </c>
      <c r="E59" s="11" t="s">
        <v>69</v>
      </c>
      <c r="F59" s="65" t="s">
        <v>180</v>
      </c>
      <c r="G59" s="21"/>
      <c r="H59" s="21"/>
      <c r="I59" s="59"/>
    </row>
    <row r="60" spans="1:18" x14ac:dyDescent="0.4">
      <c r="A60" s="65" t="s">
        <v>3</v>
      </c>
      <c r="B60" s="70">
        <v>3.1</v>
      </c>
      <c r="C60" s="71">
        <v>6502.68</v>
      </c>
      <c r="D60" s="72">
        <f>C60/C62</f>
        <v>54.053865336658355</v>
      </c>
      <c r="E60" s="74">
        <f>(D61+0.0045)/0.0056</f>
        <v>1.9272503265645411</v>
      </c>
      <c r="F60" s="97">
        <f>(C61/(C60+C61))</f>
        <v>1.1639998972850817E-4</v>
      </c>
      <c r="G60" s="106"/>
      <c r="H60" s="106"/>
      <c r="I60" s="59"/>
    </row>
    <row r="61" spans="1:18" x14ac:dyDescent="0.4">
      <c r="A61" s="65" t="s">
        <v>5</v>
      </c>
      <c r="B61" s="70">
        <v>4.83</v>
      </c>
      <c r="C61" s="71">
        <v>0.75700000000000001</v>
      </c>
      <c r="D61" s="31">
        <f>C61/C62</f>
        <v>6.2926018287614302E-3</v>
      </c>
      <c r="E61" s="74"/>
      <c r="F61" s="72"/>
      <c r="G61" s="59"/>
      <c r="H61" s="59"/>
      <c r="I61" s="59"/>
    </row>
    <row r="62" spans="1:18" ht="15" thickBot="1" x14ac:dyDescent="0.45">
      <c r="A62" s="65" t="s">
        <v>4</v>
      </c>
      <c r="B62" s="75">
        <v>6.2119999999999997</v>
      </c>
      <c r="C62" s="76">
        <v>120.3</v>
      </c>
      <c r="D62" s="76"/>
      <c r="E62" s="77"/>
      <c r="F62" s="100">
        <f>C62/(C60+C61+C62)</f>
        <v>1.816195298816967E-2</v>
      </c>
      <c r="G62" s="59"/>
      <c r="H62" s="59"/>
      <c r="I62" s="59"/>
    </row>
    <row r="63" spans="1:18" ht="15" thickBot="1" x14ac:dyDescent="0.45">
      <c r="A63" s="1" t="s">
        <v>376</v>
      </c>
      <c r="B63" s="78"/>
      <c r="C63" s="78"/>
      <c r="D63" s="78"/>
      <c r="E63" s="78"/>
      <c r="F63" s="78"/>
      <c r="G63" s="87"/>
      <c r="H63" s="87"/>
      <c r="I63" s="87"/>
    </row>
    <row r="64" spans="1:18" x14ac:dyDescent="0.4">
      <c r="A64" s="65" t="s">
        <v>0</v>
      </c>
      <c r="B64" s="66" t="s">
        <v>2</v>
      </c>
      <c r="C64" s="67" t="s">
        <v>1</v>
      </c>
      <c r="D64" s="67" t="s">
        <v>113</v>
      </c>
      <c r="E64" s="11" t="s">
        <v>69</v>
      </c>
      <c r="F64" s="65" t="s">
        <v>180</v>
      </c>
      <c r="G64" s="21"/>
      <c r="H64" s="21"/>
      <c r="I64" s="87"/>
    </row>
    <row r="65" spans="1:9" x14ac:dyDescent="0.4">
      <c r="A65" s="65" t="s">
        <v>3</v>
      </c>
      <c r="B65" s="70">
        <v>3.14</v>
      </c>
      <c r="C65" s="59">
        <v>6352.85</v>
      </c>
      <c r="D65" s="72">
        <f>C65/C67</f>
        <v>53.206448911222779</v>
      </c>
      <c r="E65" s="74">
        <f>(D66+0.0045)/0.0056</f>
        <v>2.595268006700167</v>
      </c>
      <c r="F65" s="97">
        <f>(C66/(C65+C66))</f>
        <v>1.8854122600269935E-4</v>
      </c>
      <c r="G65" s="106"/>
      <c r="H65" s="106"/>
      <c r="I65" s="87"/>
    </row>
    <row r="66" spans="1:9" x14ac:dyDescent="0.4">
      <c r="A66" s="65" t="s">
        <v>5</v>
      </c>
      <c r="B66" s="70">
        <v>4.83</v>
      </c>
      <c r="C66" s="59">
        <v>1.198</v>
      </c>
      <c r="D66" s="31">
        <f>C66/C67</f>
        <v>1.0033500837520937E-2</v>
      </c>
      <c r="E66" s="74"/>
      <c r="F66" s="65"/>
      <c r="G66" s="87"/>
      <c r="H66" s="87"/>
      <c r="I66" s="87"/>
    </row>
    <row r="67" spans="1:9" ht="15" thickBot="1" x14ac:dyDescent="0.45">
      <c r="A67" s="65" t="s">
        <v>4</v>
      </c>
      <c r="B67" s="75">
        <v>6.2119999999999997</v>
      </c>
      <c r="C67" s="76">
        <v>119.4</v>
      </c>
      <c r="D67" s="76"/>
      <c r="E67" s="77"/>
      <c r="F67" s="100">
        <f>C67/(C65+C66+C67)</f>
        <v>1.8444575441094142E-2</v>
      </c>
      <c r="G67" s="87"/>
      <c r="H67" s="87"/>
      <c r="I67" s="87"/>
    </row>
    <row r="68" spans="1:9" ht="15" thickBot="1" x14ac:dyDescent="0.45">
      <c r="A68" s="1" t="s">
        <v>377</v>
      </c>
      <c r="B68" s="78"/>
      <c r="C68" s="78"/>
      <c r="D68" s="78"/>
      <c r="E68" s="78"/>
      <c r="F68" s="79"/>
      <c r="G68" s="87"/>
      <c r="H68" s="87"/>
      <c r="I68" s="87"/>
    </row>
    <row r="69" spans="1:9" x14ac:dyDescent="0.4">
      <c r="A69" t="s">
        <v>0</v>
      </c>
      <c r="B69" s="66" t="s">
        <v>2</v>
      </c>
      <c r="C69" s="67" t="s">
        <v>1</v>
      </c>
      <c r="D69" s="67" t="s">
        <v>113</v>
      </c>
      <c r="E69" s="11" t="s">
        <v>69</v>
      </c>
      <c r="F69" s="65" t="s">
        <v>180</v>
      </c>
      <c r="G69" s="21"/>
      <c r="H69" s="21"/>
      <c r="I69" s="21"/>
    </row>
    <row r="70" spans="1:9" x14ac:dyDescent="0.4">
      <c r="A70" t="s">
        <v>3</v>
      </c>
      <c r="B70" s="18">
        <v>3.1</v>
      </c>
      <c r="C70" s="59">
        <v>6401.22</v>
      </c>
      <c r="D70" s="8">
        <f>C70/C72</f>
        <v>51.415421686746988</v>
      </c>
      <c r="E70" s="74">
        <f>(D71+0.0045)/0.0056</f>
        <v>2.0370768789443487</v>
      </c>
      <c r="F70" s="97">
        <f>(C71/(C70+C71))</f>
        <v>1.3433134231374802E-4</v>
      </c>
      <c r="G70" s="106"/>
      <c r="H70" s="106"/>
      <c r="I70" s="21"/>
    </row>
    <row r="71" spans="1:9" x14ac:dyDescent="0.4">
      <c r="A71" t="s">
        <v>5</v>
      </c>
      <c r="B71" s="18">
        <v>4.83</v>
      </c>
      <c r="C71" s="59">
        <v>0.86</v>
      </c>
      <c r="D71" s="32">
        <f>C71/C72</f>
        <v>6.9076305220883531E-3</v>
      </c>
      <c r="E71" s="13"/>
      <c r="F71" s="94"/>
      <c r="G71" s="21"/>
      <c r="H71" s="21"/>
      <c r="I71" s="21"/>
    </row>
    <row r="72" spans="1:9" ht="15" thickBot="1" x14ac:dyDescent="0.45">
      <c r="A72" t="s">
        <v>4</v>
      </c>
      <c r="B72" s="20">
        <v>6.2119999999999997</v>
      </c>
      <c r="C72" s="16">
        <v>124.5</v>
      </c>
      <c r="D72" s="16"/>
      <c r="E72" s="24"/>
      <c r="F72" s="100">
        <f>C72/(C70+C71+C72)</f>
        <v>1.907584063935476E-2</v>
      </c>
      <c r="G72" s="21"/>
      <c r="H72" s="21"/>
      <c r="I72" s="21"/>
    </row>
    <row r="73" spans="1:9" ht="15" thickBot="1" x14ac:dyDescent="0.45">
      <c r="A73" s="1" t="s">
        <v>378</v>
      </c>
      <c r="B73" s="1"/>
      <c r="C73" s="1"/>
      <c r="D73" s="1"/>
      <c r="E73" s="1"/>
      <c r="F73" s="1"/>
      <c r="G73" s="60"/>
      <c r="H73" s="60"/>
      <c r="I73" s="60"/>
    </row>
    <row r="74" spans="1:9" x14ac:dyDescent="0.4">
      <c r="A74" s="65" t="s">
        <v>0</v>
      </c>
      <c r="B74" s="66" t="s">
        <v>2</v>
      </c>
      <c r="C74" s="67" t="s">
        <v>1</v>
      </c>
      <c r="D74" s="67" t="s">
        <v>113</v>
      </c>
      <c r="E74" s="11" t="s">
        <v>69</v>
      </c>
      <c r="F74" s="65" t="s">
        <v>180</v>
      </c>
      <c r="G74" s="21"/>
      <c r="H74" s="21"/>
      <c r="I74" s="59"/>
    </row>
    <row r="75" spans="1:9" x14ac:dyDescent="0.4">
      <c r="A75" s="65" t="s">
        <v>3</v>
      </c>
      <c r="B75" s="70">
        <v>3.1</v>
      </c>
      <c r="C75" s="71">
        <v>6809.58</v>
      </c>
      <c r="D75" s="72">
        <f>C75/C77</f>
        <v>52.705727554179568</v>
      </c>
      <c r="E75" s="74">
        <f>(D76+0.0045)/0.0056</f>
        <v>1.7544781070322866</v>
      </c>
      <c r="F75" s="97">
        <f>(C76/(C75+C76))</f>
        <v>1.0102392446229721E-4</v>
      </c>
      <c r="G75" s="106"/>
      <c r="H75" s="106"/>
      <c r="I75" s="59"/>
    </row>
    <row r="76" spans="1:9" x14ac:dyDescent="0.4">
      <c r="A76" s="65" t="s">
        <v>5</v>
      </c>
      <c r="B76" s="70">
        <v>4.83</v>
      </c>
      <c r="C76" s="71">
        <v>0.68799999999999994</v>
      </c>
      <c r="D76" s="31">
        <f>C76/C77</f>
        <v>5.3250773993808046E-3</v>
      </c>
      <c r="E76" s="74"/>
      <c r="F76" s="72"/>
      <c r="G76" s="59"/>
      <c r="H76" s="59"/>
      <c r="I76" s="59"/>
    </row>
    <row r="77" spans="1:9" ht="15" thickBot="1" x14ac:dyDescent="0.45">
      <c r="A77" s="65" t="s">
        <v>4</v>
      </c>
      <c r="B77" s="75">
        <v>6.2119999999999997</v>
      </c>
      <c r="C77" s="76">
        <v>129.19999999999999</v>
      </c>
      <c r="D77" s="76"/>
      <c r="E77" s="77"/>
      <c r="F77" s="100">
        <f>C77/(C75+C76+C77)</f>
        <v>1.8618141909437436E-2</v>
      </c>
      <c r="G77" s="59"/>
      <c r="H77" s="59"/>
      <c r="I77" s="59"/>
    </row>
    <row r="78" spans="1:9" ht="15" thickBot="1" x14ac:dyDescent="0.45">
      <c r="A78" s="1" t="s">
        <v>379</v>
      </c>
      <c r="B78" s="78"/>
      <c r="C78" s="78"/>
      <c r="D78" s="78"/>
      <c r="E78" s="78"/>
      <c r="F78" s="78"/>
      <c r="G78" s="87"/>
      <c r="H78" s="87"/>
      <c r="I78" s="87"/>
    </row>
    <row r="79" spans="1:9" x14ac:dyDescent="0.4">
      <c r="A79" s="65" t="s">
        <v>0</v>
      </c>
      <c r="B79" s="66" t="s">
        <v>2</v>
      </c>
      <c r="C79" s="67" t="s">
        <v>1</v>
      </c>
      <c r="D79" s="67" t="s">
        <v>113</v>
      </c>
      <c r="E79" s="11" t="s">
        <v>69</v>
      </c>
      <c r="F79" s="65" t="s">
        <v>180</v>
      </c>
      <c r="G79" s="21"/>
      <c r="H79" s="21"/>
      <c r="I79" s="87"/>
    </row>
    <row r="80" spans="1:9" x14ac:dyDescent="0.4">
      <c r="A80" s="65" t="s">
        <v>3</v>
      </c>
      <c r="B80" s="70">
        <v>3.14</v>
      </c>
      <c r="C80" s="59">
        <v>6636.5</v>
      </c>
      <c r="D80" s="72">
        <f>C80/C82</f>
        <v>54.087204563977181</v>
      </c>
      <c r="E80" s="74">
        <f>(D81+0.0045)/0.0056</f>
        <v>1.3842560251484457</v>
      </c>
      <c r="F80" s="97">
        <f>(C81/(C80+C81))</f>
        <v>6.0118437842733481E-5</v>
      </c>
      <c r="G80" s="106"/>
      <c r="H80" s="106"/>
      <c r="I80" s="87"/>
    </row>
    <row r="81" spans="1:9" x14ac:dyDescent="0.4">
      <c r="A81" s="65" t="s">
        <v>5</v>
      </c>
      <c r="B81" s="70">
        <v>4.83</v>
      </c>
      <c r="C81" s="59">
        <v>0.39900000000000002</v>
      </c>
      <c r="D81" s="31">
        <f>C81/C82</f>
        <v>3.251833740831296E-3</v>
      </c>
      <c r="E81" s="74"/>
      <c r="F81" s="65"/>
      <c r="G81" s="87"/>
      <c r="H81" s="87"/>
      <c r="I81" s="87"/>
    </row>
    <row r="82" spans="1:9" ht="15" thickBot="1" x14ac:dyDescent="0.45">
      <c r="A82" s="65" t="s">
        <v>4</v>
      </c>
      <c r="B82" s="75">
        <v>6.2119999999999997</v>
      </c>
      <c r="C82" s="76">
        <v>122.7</v>
      </c>
      <c r="D82" s="76"/>
      <c r="E82" s="77"/>
      <c r="F82" s="100">
        <f>C82/(C80+C81+C82)</f>
        <v>1.8151964339896492E-2</v>
      </c>
      <c r="G82" s="87"/>
      <c r="H82" s="87"/>
      <c r="I82" s="87"/>
    </row>
    <row r="83" spans="1:9" x14ac:dyDescent="0.4">
      <c r="A83" s="4" t="s">
        <v>399</v>
      </c>
      <c r="B83" s="4"/>
      <c r="C83" s="4"/>
      <c r="D83" s="4"/>
      <c r="E83" s="4"/>
      <c r="F83" s="4"/>
      <c r="G83" s="4"/>
      <c r="H83" s="4"/>
      <c r="I83" s="4"/>
    </row>
    <row r="84" spans="1:9" ht="15" thickBot="1" x14ac:dyDescent="0.45">
      <c r="A84" s="1" t="s">
        <v>372</v>
      </c>
      <c r="B84" s="1"/>
      <c r="C84" s="1"/>
      <c r="D84" s="1"/>
      <c r="E84" s="1"/>
      <c r="F84" s="1"/>
      <c r="G84" s="60"/>
      <c r="H84" s="60"/>
      <c r="I84" s="60"/>
    </row>
    <row r="85" spans="1:9" x14ac:dyDescent="0.4">
      <c r="A85" s="65" t="s">
        <v>0</v>
      </c>
      <c r="B85" s="66" t="s">
        <v>2</v>
      </c>
      <c r="C85" s="67" t="s">
        <v>1</v>
      </c>
      <c r="D85" s="67" t="s">
        <v>113</v>
      </c>
      <c r="E85" s="11" t="s">
        <v>69</v>
      </c>
      <c r="F85" s="65" t="s">
        <v>180</v>
      </c>
      <c r="G85" s="21"/>
      <c r="H85" s="21"/>
      <c r="I85" s="59"/>
    </row>
    <row r="86" spans="1:9" x14ac:dyDescent="0.4">
      <c r="A86" s="65" t="s">
        <v>3</v>
      </c>
      <c r="B86" s="70">
        <v>3.1</v>
      </c>
      <c r="C86" s="71">
        <v>6687.12</v>
      </c>
      <c r="D86" s="72">
        <f>C86/C88</f>
        <v>52.406896551724138</v>
      </c>
      <c r="E86" s="74">
        <f>(D87+0.0045)/0.0056</f>
        <v>3.4765450067174206</v>
      </c>
      <c r="F86" s="97">
        <f>(C87/(C86+C87))</f>
        <v>2.8554214886164362E-4</v>
      </c>
      <c r="G86" s="106"/>
      <c r="H86" s="106"/>
      <c r="I86" s="59"/>
    </row>
    <row r="87" spans="1:9" x14ac:dyDescent="0.4">
      <c r="A87" s="65" t="s">
        <v>5</v>
      </c>
      <c r="B87" s="70">
        <v>4.83</v>
      </c>
      <c r="C87" s="71">
        <v>1.91</v>
      </c>
      <c r="D87" s="31">
        <f>C87/C88</f>
        <v>1.4968652037617556E-2</v>
      </c>
      <c r="E87" s="74"/>
      <c r="F87" s="72"/>
      <c r="G87" s="59"/>
      <c r="H87" s="59"/>
      <c r="I87" s="59"/>
    </row>
    <row r="88" spans="1:9" ht="15" thickBot="1" x14ac:dyDescent="0.45">
      <c r="A88" s="65" t="s">
        <v>4</v>
      </c>
      <c r="B88" s="75">
        <v>6.2119999999999997</v>
      </c>
      <c r="C88" s="76">
        <v>127.6</v>
      </c>
      <c r="D88" s="76"/>
      <c r="E88" s="77"/>
      <c r="F88" s="100">
        <f>C88/(C86+C87+C88)</f>
        <v>1.8718927094473366E-2</v>
      </c>
      <c r="G88" s="59"/>
      <c r="H88" s="59"/>
      <c r="I88" s="59"/>
    </row>
    <row r="89" spans="1:9" ht="15" thickBot="1" x14ac:dyDescent="0.45">
      <c r="A89" s="1" t="s">
        <v>373</v>
      </c>
      <c r="B89" s="78"/>
      <c r="C89" s="78"/>
      <c r="D89" s="78"/>
      <c r="E89" s="78"/>
      <c r="F89" s="78"/>
      <c r="G89" s="87"/>
      <c r="H89" s="87"/>
      <c r="I89" s="87"/>
    </row>
    <row r="90" spans="1:9" x14ac:dyDescent="0.4">
      <c r="A90" s="65" t="s">
        <v>0</v>
      </c>
      <c r="B90" s="66" t="s">
        <v>2</v>
      </c>
      <c r="C90" s="67" t="s">
        <v>1</v>
      </c>
      <c r="D90" s="67" t="s">
        <v>113</v>
      </c>
      <c r="E90" s="11" t="s">
        <v>69</v>
      </c>
      <c r="F90" s="65" t="s">
        <v>180</v>
      </c>
      <c r="G90" s="21"/>
      <c r="H90" s="21"/>
      <c r="I90" s="87"/>
    </row>
    <row r="91" spans="1:9" x14ac:dyDescent="0.4">
      <c r="A91" s="65" t="s">
        <v>3</v>
      </c>
      <c r="B91" s="70">
        <v>3.14</v>
      </c>
      <c r="C91" s="59">
        <v>6723.87</v>
      </c>
      <c r="D91" s="72">
        <f>C91/C93</f>
        <v>53.533996815286628</v>
      </c>
      <c r="E91" s="74">
        <f>(D92+0.0045)/0.0056</f>
        <v>2.5665377616014555</v>
      </c>
      <c r="F91" s="97">
        <f>(C92/(C91+C92))</f>
        <v>1.8438360116042712E-4</v>
      </c>
      <c r="G91" s="106"/>
      <c r="H91" s="106"/>
      <c r="I91" s="87"/>
    </row>
    <row r="92" spans="1:9" x14ac:dyDescent="0.4">
      <c r="A92" s="65" t="s">
        <v>5</v>
      </c>
      <c r="B92" s="70">
        <v>4.83</v>
      </c>
      <c r="C92" s="59">
        <v>1.24</v>
      </c>
      <c r="D92" s="31">
        <f>C92/C93</f>
        <v>9.8726114649681524E-3</v>
      </c>
      <c r="E92" s="74"/>
      <c r="F92" s="65"/>
      <c r="G92" s="87"/>
      <c r="H92" s="87"/>
      <c r="I92" s="87"/>
    </row>
    <row r="93" spans="1:9" ht="15" thickBot="1" x14ac:dyDescent="0.45">
      <c r="A93" s="65" t="s">
        <v>4</v>
      </c>
      <c r="B93" s="75">
        <v>6.2119999999999997</v>
      </c>
      <c r="C93" s="76">
        <v>125.6</v>
      </c>
      <c r="D93" s="76"/>
      <c r="E93" s="77"/>
      <c r="F93" s="100">
        <f>C93/(C91+C92+C93)</f>
        <v>1.8333866124825016E-2</v>
      </c>
      <c r="G93" s="87"/>
      <c r="H93" s="87"/>
      <c r="I93" s="87"/>
    </row>
    <row r="94" spans="1:9" ht="15" thickBot="1" x14ac:dyDescent="0.45">
      <c r="A94" s="1" t="s">
        <v>374</v>
      </c>
      <c r="B94" s="78"/>
      <c r="C94" s="78"/>
      <c r="D94" s="78"/>
      <c r="E94" s="78"/>
      <c r="F94" s="79"/>
      <c r="G94" s="87"/>
      <c r="H94" s="87"/>
      <c r="I94" s="87"/>
    </row>
    <row r="95" spans="1:9" x14ac:dyDescent="0.4">
      <c r="A95" t="s">
        <v>0</v>
      </c>
      <c r="B95" s="66" t="s">
        <v>2</v>
      </c>
      <c r="C95" s="67" t="s">
        <v>1</v>
      </c>
      <c r="D95" s="67" t="s">
        <v>113</v>
      </c>
      <c r="E95" s="11" t="s">
        <v>69</v>
      </c>
      <c r="F95" s="65" t="s">
        <v>180</v>
      </c>
      <c r="G95" s="21"/>
      <c r="H95" s="21"/>
      <c r="I95" s="21"/>
    </row>
    <row r="96" spans="1:9" x14ac:dyDescent="0.4">
      <c r="A96" t="s">
        <v>3</v>
      </c>
      <c r="B96" s="18">
        <v>3.1</v>
      </c>
      <c r="C96" s="59">
        <v>4080.9</v>
      </c>
      <c r="D96" s="8">
        <f>C96/C98</f>
        <v>53.13671875</v>
      </c>
      <c r="E96" s="74">
        <f>(D97+0.0045)/0.0056</f>
        <v>3.4774925595238093</v>
      </c>
      <c r="F96" s="97">
        <f>(C97/(C96+C97))</f>
        <v>2.8172119400791268E-4</v>
      </c>
      <c r="G96" s="106"/>
      <c r="H96" s="106"/>
      <c r="I96" s="21"/>
    </row>
    <row r="97" spans="1:9" x14ac:dyDescent="0.4">
      <c r="A97" t="s">
        <v>5</v>
      </c>
      <c r="B97" s="18">
        <v>4.83</v>
      </c>
      <c r="C97" s="59">
        <v>1.1499999999999999</v>
      </c>
      <c r="D97" s="32">
        <f>C97/C98</f>
        <v>1.4973958333333332E-2</v>
      </c>
      <c r="E97" s="13"/>
      <c r="F97" s="94"/>
      <c r="G97" s="21"/>
      <c r="H97" s="21"/>
      <c r="I97" s="21"/>
    </row>
    <row r="98" spans="1:9" ht="15" thickBot="1" x14ac:dyDescent="0.45">
      <c r="A98" t="s">
        <v>4</v>
      </c>
      <c r="B98" s="20">
        <v>6.2119999999999997</v>
      </c>
      <c r="C98" s="16">
        <v>76.8</v>
      </c>
      <c r="D98" s="16"/>
      <c r="E98" s="24"/>
      <c r="F98" s="100">
        <f>C98/(C96+C97+C98)</f>
        <v>1.846664342306166E-2</v>
      </c>
      <c r="G98" s="21"/>
      <c r="H98" s="21"/>
      <c r="I98" s="21"/>
    </row>
    <row r="99" spans="1:9" ht="15" thickBot="1" x14ac:dyDescent="0.45">
      <c r="A99" s="1" t="s">
        <v>375</v>
      </c>
      <c r="B99" s="1"/>
      <c r="C99" s="1"/>
      <c r="D99" s="1"/>
      <c r="E99" s="1"/>
      <c r="F99" s="1"/>
      <c r="G99" s="60"/>
      <c r="H99" s="60"/>
      <c r="I99" s="60"/>
    </row>
    <row r="100" spans="1:9" x14ac:dyDescent="0.4">
      <c r="A100" s="65" t="s">
        <v>0</v>
      </c>
      <c r="B100" s="66" t="s">
        <v>2</v>
      </c>
      <c r="C100" s="67" t="s">
        <v>1</v>
      </c>
      <c r="D100" s="67" t="s">
        <v>113</v>
      </c>
      <c r="E100" s="11" t="s">
        <v>69</v>
      </c>
      <c r="F100" s="65" t="s">
        <v>180</v>
      </c>
      <c r="G100" s="21"/>
      <c r="H100" s="21"/>
      <c r="I100" s="59"/>
    </row>
    <row r="101" spans="1:9" x14ac:dyDescent="0.4">
      <c r="A101" s="65" t="s">
        <v>3</v>
      </c>
      <c r="B101" s="70">
        <v>3.1</v>
      </c>
      <c r="C101" s="71">
        <v>7102</v>
      </c>
      <c r="D101" s="72">
        <f>C101/C103</f>
        <v>53.118922961854906</v>
      </c>
      <c r="E101" s="74">
        <f>(D102+0.0045)/0.0056</f>
        <v>2.6066486804145748</v>
      </c>
      <c r="F101" s="97">
        <f>(C102/(C101+C102))</f>
        <v>1.9005117303807359E-4</v>
      </c>
      <c r="G101" s="106"/>
      <c r="H101" s="106"/>
      <c r="I101" s="59"/>
    </row>
    <row r="102" spans="1:9" x14ac:dyDescent="0.4">
      <c r="A102" s="65" t="s">
        <v>5</v>
      </c>
      <c r="B102" s="70">
        <v>4.83</v>
      </c>
      <c r="C102" s="71">
        <v>1.35</v>
      </c>
      <c r="D102" s="31">
        <f>C102/C103</f>
        <v>1.0097232610321617E-2</v>
      </c>
      <c r="E102" s="74"/>
      <c r="F102" s="72"/>
      <c r="G102" s="59"/>
      <c r="H102" s="59"/>
      <c r="I102" s="59"/>
    </row>
    <row r="103" spans="1:9" ht="15" thickBot="1" x14ac:dyDescent="0.45">
      <c r="A103" s="65" t="s">
        <v>4</v>
      </c>
      <c r="B103" s="75">
        <v>6.2119999999999997</v>
      </c>
      <c r="C103" s="76">
        <v>133.69999999999999</v>
      </c>
      <c r="D103" s="76"/>
      <c r="E103" s="77"/>
      <c r="F103" s="100">
        <f>C103/(C101+C102+C103)</f>
        <v>1.8474378372403118E-2</v>
      </c>
      <c r="G103" s="59"/>
      <c r="H103" s="59"/>
      <c r="I103" s="59"/>
    </row>
    <row r="104" spans="1:9" ht="15" thickBot="1" x14ac:dyDescent="0.45">
      <c r="A104" s="1" t="s">
        <v>376</v>
      </c>
      <c r="B104" s="78"/>
      <c r="C104" s="78"/>
      <c r="D104" s="78"/>
      <c r="E104" s="78"/>
      <c r="F104" s="78"/>
      <c r="G104" s="87"/>
      <c r="H104" s="87"/>
      <c r="I104" s="87"/>
    </row>
    <row r="105" spans="1:9" x14ac:dyDescent="0.4">
      <c r="A105" s="65" t="s">
        <v>0</v>
      </c>
      <c r="B105" s="66" t="s">
        <v>2</v>
      </c>
      <c r="C105" s="67" t="s">
        <v>1</v>
      </c>
      <c r="D105" s="67" t="s">
        <v>113</v>
      </c>
      <c r="E105" s="11" t="s">
        <v>69</v>
      </c>
      <c r="F105" s="65" t="s">
        <v>180</v>
      </c>
      <c r="G105" s="21"/>
      <c r="H105" s="21"/>
      <c r="I105" s="87"/>
    </row>
    <row r="106" spans="1:9" x14ac:dyDescent="0.4">
      <c r="A106" s="65" t="s">
        <v>3</v>
      </c>
      <c r="B106" s="70">
        <v>3.14</v>
      </c>
      <c r="C106" s="59">
        <v>6836.2</v>
      </c>
      <c r="D106" s="72">
        <f>C106/C108</f>
        <v>53.617254901960784</v>
      </c>
      <c r="E106" s="74">
        <f>(D107+0.0045)/0.0056</f>
        <v>4.2629551820728295</v>
      </c>
      <c r="F106" s="97">
        <f>(C107/(C106+C107))</f>
        <v>3.6118134081626987E-4</v>
      </c>
      <c r="G106" s="106"/>
      <c r="H106" s="106"/>
      <c r="I106" s="87"/>
    </row>
    <row r="107" spans="1:9" x14ac:dyDescent="0.4">
      <c r="A107" s="65" t="s">
        <v>5</v>
      </c>
      <c r="B107" s="70">
        <v>4.83</v>
      </c>
      <c r="C107" s="59">
        <v>2.4700000000000002</v>
      </c>
      <c r="D107" s="31">
        <f>C107/C108</f>
        <v>1.9372549019607846E-2</v>
      </c>
      <c r="E107" s="74"/>
      <c r="F107" s="65"/>
      <c r="G107" s="87"/>
      <c r="H107" s="87"/>
      <c r="I107" s="87"/>
    </row>
    <row r="108" spans="1:9" ht="15" thickBot="1" x14ac:dyDescent="0.45">
      <c r="A108" s="65" t="s">
        <v>4</v>
      </c>
      <c r="B108" s="75">
        <v>6.2119999999999997</v>
      </c>
      <c r="C108" s="76">
        <v>127.5</v>
      </c>
      <c r="D108" s="76"/>
      <c r="E108" s="77"/>
      <c r="F108" s="100">
        <f>C108/(C106+C107+C108)</f>
        <v>1.8302740243203941E-2</v>
      </c>
      <c r="G108" s="87"/>
      <c r="H108" s="87"/>
      <c r="I108" s="87"/>
    </row>
    <row r="109" spans="1:9" ht="15" thickBot="1" x14ac:dyDescent="0.45">
      <c r="A109" s="1" t="s">
        <v>377</v>
      </c>
      <c r="B109" s="78"/>
      <c r="C109" s="78"/>
      <c r="D109" s="78"/>
      <c r="E109" s="78"/>
      <c r="F109" s="79"/>
      <c r="G109" s="87"/>
      <c r="H109" s="87"/>
      <c r="I109" s="87"/>
    </row>
    <row r="110" spans="1:9" x14ac:dyDescent="0.4">
      <c r="A110" t="s">
        <v>0</v>
      </c>
      <c r="B110" s="66" t="s">
        <v>2</v>
      </c>
      <c r="C110" s="67" t="s">
        <v>1</v>
      </c>
      <c r="D110" s="67" t="s">
        <v>113</v>
      </c>
      <c r="E110" s="11" t="s">
        <v>69</v>
      </c>
      <c r="F110" s="65" t="s">
        <v>180</v>
      </c>
      <c r="G110" s="21"/>
      <c r="H110" s="21"/>
      <c r="I110" s="21"/>
    </row>
    <row r="111" spans="1:9" x14ac:dyDescent="0.4">
      <c r="A111" t="s">
        <v>3</v>
      </c>
      <c r="B111" s="18">
        <v>3.1</v>
      </c>
      <c r="C111" s="59">
        <v>7100</v>
      </c>
      <c r="D111" s="8">
        <f>C111/C113</f>
        <v>55.295950155763236</v>
      </c>
      <c r="E111" s="74">
        <f>(D112+0.0045)/0.0056</f>
        <v>3.1956497552291943</v>
      </c>
      <c r="F111" s="97">
        <f>(C112/(C111+C112))</f>
        <v>2.4219484857189525E-4</v>
      </c>
      <c r="G111" s="106"/>
      <c r="H111" s="106"/>
      <c r="I111" s="21"/>
    </row>
    <row r="112" spans="1:9" x14ac:dyDescent="0.4">
      <c r="A112" t="s">
        <v>5</v>
      </c>
      <c r="B112" s="18">
        <v>4.83</v>
      </c>
      <c r="C112" s="59">
        <v>1.72</v>
      </c>
      <c r="D112" s="32">
        <f>C112/C113</f>
        <v>1.3395638629283488E-2</v>
      </c>
      <c r="E112" s="13"/>
      <c r="F112" s="94"/>
      <c r="G112" s="21"/>
      <c r="H112" s="21"/>
      <c r="I112" s="21"/>
    </row>
    <row r="113" spans="1:9" ht="15" thickBot="1" x14ac:dyDescent="0.45">
      <c r="A113" t="s">
        <v>4</v>
      </c>
      <c r="B113" s="20">
        <v>6.2119999999999997</v>
      </c>
      <c r="C113" s="16">
        <v>128.4</v>
      </c>
      <c r="D113" s="16"/>
      <c r="E113" s="24"/>
      <c r="F113" s="100">
        <f>C113/(C111+C112+C113)</f>
        <v>1.7759041343712138E-2</v>
      </c>
      <c r="G113" s="21"/>
      <c r="H113" s="21"/>
      <c r="I113" s="21"/>
    </row>
    <row r="114" spans="1:9" ht="15" thickBot="1" x14ac:dyDescent="0.45">
      <c r="A114" s="1" t="s">
        <v>378</v>
      </c>
      <c r="B114" s="1"/>
      <c r="C114" s="1"/>
      <c r="D114" s="1"/>
      <c r="E114" s="1"/>
      <c r="F114" s="1"/>
      <c r="G114" s="60"/>
      <c r="H114" s="60"/>
      <c r="I114" s="60"/>
    </row>
    <row r="115" spans="1:9" x14ac:dyDescent="0.4">
      <c r="A115" s="65" t="s">
        <v>0</v>
      </c>
      <c r="B115" s="66" t="s">
        <v>2</v>
      </c>
      <c r="C115" s="67" t="s">
        <v>1</v>
      </c>
      <c r="D115" s="67" t="s">
        <v>113</v>
      </c>
      <c r="E115" s="11" t="s">
        <v>69</v>
      </c>
      <c r="F115" s="65" t="s">
        <v>180</v>
      </c>
      <c r="G115" s="21"/>
      <c r="H115" s="21"/>
      <c r="I115" s="59"/>
    </row>
    <row r="116" spans="1:9" x14ac:dyDescent="0.4">
      <c r="A116" s="65" t="s">
        <v>3</v>
      </c>
      <c r="B116" s="70">
        <v>3.1</v>
      </c>
      <c r="C116" s="71">
        <v>7121.53</v>
      </c>
      <c r="D116" s="72">
        <f>C116/C118</f>
        <v>54.823171670515777</v>
      </c>
      <c r="E116" s="74">
        <f>(D117+0.0045)/0.0056</f>
        <v>2.589285714285714</v>
      </c>
      <c r="F116" s="97">
        <f>(C117/(C116+C117))</f>
        <v>1.8237135834652215E-4</v>
      </c>
      <c r="G116" s="106"/>
      <c r="H116" s="106"/>
      <c r="I116" s="59"/>
    </row>
    <row r="117" spans="1:9" x14ac:dyDescent="0.4">
      <c r="A117" s="65" t="s">
        <v>5</v>
      </c>
      <c r="B117" s="70">
        <v>4.83</v>
      </c>
      <c r="C117" s="71">
        <v>1.2989999999999999</v>
      </c>
      <c r="D117" s="31">
        <f>C117/C118</f>
        <v>9.9999999999999985E-3</v>
      </c>
      <c r="E117" s="74"/>
      <c r="F117" s="72"/>
      <c r="G117" s="59"/>
      <c r="H117" s="59"/>
      <c r="I117" s="59"/>
    </row>
    <row r="118" spans="1:9" ht="15" thickBot="1" x14ac:dyDescent="0.45">
      <c r="A118" s="65" t="s">
        <v>4</v>
      </c>
      <c r="B118" s="75">
        <v>6.2119999999999997</v>
      </c>
      <c r="C118" s="76">
        <v>129.9</v>
      </c>
      <c r="D118" s="76"/>
      <c r="E118" s="77"/>
      <c r="F118" s="100">
        <f>C118/(C116+C117+C118)</f>
        <v>1.7910499620211927E-2</v>
      </c>
      <c r="G118" s="59"/>
      <c r="H118" s="59"/>
      <c r="I118" s="59"/>
    </row>
    <row r="119" spans="1:9" ht="15" thickBot="1" x14ac:dyDescent="0.45">
      <c r="A119" s="1" t="s">
        <v>379</v>
      </c>
      <c r="B119" s="78"/>
      <c r="C119" s="78"/>
      <c r="D119" s="78"/>
      <c r="E119" s="78"/>
      <c r="F119" s="78"/>
      <c r="G119" s="87"/>
      <c r="H119" s="87"/>
      <c r="I119" s="87"/>
    </row>
    <row r="120" spans="1:9" x14ac:dyDescent="0.4">
      <c r="A120" s="65" t="s">
        <v>0</v>
      </c>
      <c r="B120" s="66" t="s">
        <v>2</v>
      </c>
      <c r="C120" s="67" t="s">
        <v>1</v>
      </c>
      <c r="D120" s="67" t="s">
        <v>113</v>
      </c>
      <c r="E120" s="11" t="s">
        <v>69</v>
      </c>
      <c r="F120" s="65" t="s">
        <v>180</v>
      </c>
      <c r="G120" s="21"/>
      <c r="H120" s="21"/>
      <c r="I120" s="87"/>
    </row>
    <row r="121" spans="1:9" x14ac:dyDescent="0.4">
      <c r="A121" s="65" t="s">
        <v>3</v>
      </c>
      <c r="B121" s="70">
        <v>3.14</v>
      </c>
      <c r="C121" s="59">
        <v>6666</v>
      </c>
      <c r="D121" s="72">
        <f>C121/C123</f>
        <v>53.370696557245793</v>
      </c>
      <c r="E121" s="74">
        <f>(D122+0.0045)/0.0056</f>
        <v>1.7886452018757861</v>
      </c>
      <c r="F121" s="97">
        <f>(C122/(C121+C122))</f>
        <v>1.0334965377865983E-4</v>
      </c>
      <c r="G121" s="106"/>
      <c r="H121" s="106"/>
      <c r="I121" s="87"/>
    </row>
    <row r="122" spans="1:9" x14ac:dyDescent="0.4">
      <c r="A122" s="65" t="s">
        <v>5</v>
      </c>
      <c r="B122" s="70">
        <v>4.83</v>
      </c>
      <c r="C122" s="59">
        <v>0.68899999999999995</v>
      </c>
      <c r="D122" s="31">
        <f>C122/C123</f>
        <v>5.5164131305044028E-3</v>
      </c>
      <c r="E122" s="74"/>
      <c r="F122" s="65"/>
      <c r="G122" s="87"/>
      <c r="H122" s="87"/>
      <c r="I122" s="87"/>
    </row>
    <row r="123" spans="1:9" ht="15" thickBot="1" x14ac:dyDescent="0.45">
      <c r="A123" s="65" t="s">
        <v>4</v>
      </c>
      <c r="B123" s="75">
        <v>6.2119999999999997</v>
      </c>
      <c r="C123" s="76">
        <v>124.9</v>
      </c>
      <c r="D123" s="76"/>
      <c r="E123" s="77"/>
      <c r="F123" s="100">
        <f>C123/(C121+C122+C123)</f>
        <v>1.839039435395752E-2</v>
      </c>
      <c r="G123" s="87"/>
      <c r="H123" s="87"/>
      <c r="I123" s="87"/>
    </row>
    <row r="124" spans="1:9" x14ac:dyDescent="0.4">
      <c r="A124" s="4" t="s">
        <v>400</v>
      </c>
      <c r="B124" s="4"/>
      <c r="C124" s="4"/>
      <c r="D124" s="4"/>
      <c r="E124" s="4"/>
      <c r="F124" s="4"/>
      <c r="G124" s="4"/>
      <c r="H124" s="4"/>
      <c r="I124" s="4"/>
    </row>
    <row r="125" spans="1:9" ht="15" thickBot="1" x14ac:dyDescent="0.45">
      <c r="A125" s="1" t="s">
        <v>372</v>
      </c>
      <c r="B125" s="1"/>
      <c r="C125" s="1"/>
      <c r="D125" s="1"/>
      <c r="E125" s="1"/>
      <c r="F125" s="1"/>
      <c r="G125" s="60"/>
      <c r="H125" s="60"/>
      <c r="I125" s="60"/>
    </row>
    <row r="126" spans="1:9" x14ac:dyDescent="0.4">
      <c r="A126" s="65" t="s">
        <v>0</v>
      </c>
      <c r="B126" s="66" t="s">
        <v>2</v>
      </c>
      <c r="C126" s="67" t="s">
        <v>1</v>
      </c>
      <c r="D126" s="67" t="s">
        <v>113</v>
      </c>
      <c r="E126" s="11" t="s">
        <v>69</v>
      </c>
      <c r="F126" s="65" t="s">
        <v>180</v>
      </c>
      <c r="G126" s="21"/>
      <c r="H126" s="21"/>
      <c r="I126" s="59"/>
    </row>
    <row r="127" spans="1:9" x14ac:dyDescent="0.4">
      <c r="A127" s="65" t="s">
        <v>3</v>
      </c>
      <c r="B127" s="70">
        <v>3.1</v>
      </c>
      <c r="C127" s="71">
        <v>6852.3</v>
      </c>
      <c r="D127" s="72">
        <f>C127/C129</f>
        <v>52.108745247148292</v>
      </c>
      <c r="E127" s="74">
        <f>(D128+0.0045)/0.0056</f>
        <v>4.795966865833786</v>
      </c>
      <c r="F127" s="97">
        <f>(C128/(C127+C128))</f>
        <v>4.288690111505943E-4</v>
      </c>
      <c r="G127" s="106"/>
      <c r="H127" s="106"/>
      <c r="I127" s="59"/>
    </row>
    <row r="128" spans="1:9" x14ac:dyDescent="0.4">
      <c r="A128" s="65" t="s">
        <v>5</v>
      </c>
      <c r="B128" s="70">
        <v>4.83</v>
      </c>
      <c r="C128" s="71">
        <v>2.94</v>
      </c>
      <c r="D128" s="31">
        <f>C128/C129</f>
        <v>2.2357414448669202E-2</v>
      </c>
      <c r="E128" s="74"/>
      <c r="F128" s="72"/>
      <c r="G128" s="59"/>
      <c r="H128" s="59"/>
      <c r="I128" s="59"/>
    </row>
    <row r="129" spans="1:9" ht="15" thickBot="1" x14ac:dyDescent="0.45">
      <c r="A129" s="65" t="s">
        <v>4</v>
      </c>
      <c r="B129" s="75">
        <v>6.2119999999999997</v>
      </c>
      <c r="C129" s="76">
        <v>131.5</v>
      </c>
      <c r="D129" s="76"/>
      <c r="E129" s="77"/>
      <c r="F129" s="100">
        <f>C129/(C127+C128+C129)</f>
        <v>1.8821367332976468E-2</v>
      </c>
      <c r="G129" s="59"/>
      <c r="H129" s="59"/>
      <c r="I129" s="59"/>
    </row>
    <row r="130" spans="1:9" ht="15" thickBot="1" x14ac:dyDescent="0.45">
      <c r="A130" s="1" t="s">
        <v>373</v>
      </c>
      <c r="B130" s="78"/>
      <c r="C130" s="78"/>
      <c r="D130" s="78"/>
      <c r="E130" s="78"/>
      <c r="F130" s="78"/>
      <c r="G130" s="87"/>
      <c r="H130" s="87"/>
      <c r="I130" s="87"/>
    </row>
    <row r="131" spans="1:9" x14ac:dyDescent="0.4">
      <c r="A131" s="65" t="s">
        <v>0</v>
      </c>
      <c r="B131" s="66" t="s">
        <v>2</v>
      </c>
      <c r="C131" s="67" t="s">
        <v>1</v>
      </c>
      <c r="D131" s="67" t="s">
        <v>113</v>
      </c>
      <c r="E131" s="11" t="s">
        <v>69</v>
      </c>
      <c r="F131" s="65" t="s">
        <v>180</v>
      </c>
      <c r="G131" s="21"/>
      <c r="H131" s="21"/>
      <c r="I131" s="87"/>
    </row>
    <row r="132" spans="1:9" x14ac:dyDescent="0.4">
      <c r="A132" s="65" t="s">
        <v>3</v>
      </c>
      <c r="B132" s="70">
        <v>3.14</v>
      </c>
      <c r="C132" s="59">
        <v>6548.8</v>
      </c>
      <c r="D132" s="72">
        <f>C132/C134</f>
        <v>53.678688524590164</v>
      </c>
      <c r="E132" s="74">
        <f>(D133+0.0045)/0.0056</f>
        <v>3.4089578454332554</v>
      </c>
      <c r="F132" s="97">
        <f>(C133/(C132+C133))</f>
        <v>2.7173166345575506E-4</v>
      </c>
      <c r="G132" s="106"/>
      <c r="H132" s="106"/>
      <c r="I132" s="87"/>
    </row>
    <row r="133" spans="1:9" x14ac:dyDescent="0.4">
      <c r="A133" s="65" t="s">
        <v>5</v>
      </c>
      <c r="B133" s="70">
        <v>4.83</v>
      </c>
      <c r="C133" s="59">
        <v>1.78</v>
      </c>
      <c r="D133" s="31">
        <f>C133/C134</f>
        <v>1.4590163934426231E-2</v>
      </c>
      <c r="E133" s="74"/>
      <c r="F133" s="65"/>
      <c r="G133" s="87"/>
      <c r="H133" s="87"/>
      <c r="I133" s="87"/>
    </row>
    <row r="134" spans="1:9" ht="15" thickBot="1" x14ac:dyDescent="0.45">
      <c r="A134" s="65" t="s">
        <v>4</v>
      </c>
      <c r="B134" s="75">
        <v>6.2119999999999997</v>
      </c>
      <c r="C134" s="76">
        <v>122</v>
      </c>
      <c r="D134" s="76"/>
      <c r="E134" s="77"/>
      <c r="F134" s="100">
        <f>C134/(C132+C133+C134)</f>
        <v>1.8283782285113105E-2</v>
      </c>
      <c r="G134" s="87"/>
      <c r="H134" s="87"/>
      <c r="I134" s="87"/>
    </row>
    <row r="135" spans="1:9" ht="15" thickBot="1" x14ac:dyDescent="0.45">
      <c r="A135" s="1" t="s">
        <v>374</v>
      </c>
      <c r="B135" s="78"/>
      <c r="C135" s="78"/>
      <c r="D135" s="78"/>
      <c r="E135" s="78"/>
      <c r="F135" s="79"/>
      <c r="G135" s="87"/>
      <c r="H135" s="87"/>
      <c r="I135" s="87"/>
    </row>
    <row r="136" spans="1:9" x14ac:dyDescent="0.4">
      <c r="A136" t="s">
        <v>0</v>
      </c>
      <c r="B136" s="66" t="s">
        <v>2</v>
      </c>
      <c r="C136" s="67" t="s">
        <v>1</v>
      </c>
      <c r="D136" s="67" t="s">
        <v>113</v>
      </c>
      <c r="E136" s="11" t="s">
        <v>69</v>
      </c>
      <c r="F136" s="65" t="s">
        <v>180</v>
      </c>
      <c r="G136" s="21"/>
      <c r="H136" s="21"/>
      <c r="I136" s="21"/>
    </row>
    <row r="137" spans="1:9" x14ac:dyDescent="0.4">
      <c r="A137" t="s">
        <v>3</v>
      </c>
      <c r="B137" s="18">
        <v>3.1</v>
      </c>
      <c r="C137" s="59">
        <v>6781.3</v>
      </c>
      <c r="D137" s="8">
        <f>C137/C139</f>
        <v>52.690753690753695</v>
      </c>
      <c r="E137" s="74">
        <f>(D138+0.0045)/0.0056</f>
        <v>4.702450327450328</v>
      </c>
      <c r="F137" s="97">
        <f>(C138/(C137+C138))</f>
        <v>4.1420318951196247E-4</v>
      </c>
      <c r="G137" s="106"/>
      <c r="H137" s="106"/>
      <c r="I137" s="21"/>
    </row>
    <row r="138" spans="1:9" x14ac:dyDescent="0.4">
      <c r="A138" t="s">
        <v>5</v>
      </c>
      <c r="B138" s="18">
        <v>4.83</v>
      </c>
      <c r="C138" s="59">
        <v>2.81</v>
      </c>
      <c r="D138" s="32">
        <f>C138/C139</f>
        <v>2.1833721833721835E-2</v>
      </c>
      <c r="E138" s="13"/>
      <c r="F138" s="94"/>
      <c r="G138" s="21"/>
      <c r="H138" s="21"/>
      <c r="I138" s="21"/>
    </row>
    <row r="139" spans="1:9" ht="15" thickBot="1" x14ac:dyDescent="0.45">
      <c r="A139" t="s">
        <v>4</v>
      </c>
      <c r="B139" s="20">
        <v>6.2119999999999997</v>
      </c>
      <c r="C139" s="16">
        <v>128.69999999999999</v>
      </c>
      <c r="D139" s="16"/>
      <c r="E139" s="24"/>
      <c r="F139" s="100">
        <f>C139/(C137+C138+C139)</f>
        <v>1.861760991550469E-2</v>
      </c>
      <c r="G139" s="21"/>
      <c r="H139" s="21"/>
      <c r="I139" s="21"/>
    </row>
    <row r="140" spans="1:9" ht="15" thickBot="1" x14ac:dyDescent="0.45">
      <c r="A140" s="1" t="s">
        <v>375</v>
      </c>
      <c r="B140" s="1"/>
      <c r="C140" s="1"/>
      <c r="D140" s="1"/>
      <c r="E140" s="1"/>
      <c r="F140" s="1"/>
      <c r="G140" s="60"/>
      <c r="H140" s="60"/>
      <c r="I140" s="60"/>
    </row>
    <row r="141" spans="1:9" x14ac:dyDescent="0.4">
      <c r="A141" s="65" t="s">
        <v>0</v>
      </c>
      <c r="B141" s="66" t="s">
        <v>2</v>
      </c>
      <c r="C141" s="67" t="s">
        <v>1</v>
      </c>
      <c r="D141" s="67" t="s">
        <v>113</v>
      </c>
      <c r="E141" s="11" t="s">
        <v>69</v>
      </c>
      <c r="F141" s="65" t="s">
        <v>180</v>
      </c>
      <c r="G141" s="21"/>
      <c r="H141" s="21"/>
      <c r="I141" s="59"/>
    </row>
    <row r="142" spans="1:9" x14ac:dyDescent="0.4">
      <c r="A142" s="65" t="s">
        <v>3</v>
      </c>
      <c r="B142" s="70">
        <v>3.1</v>
      </c>
      <c r="C142" s="71">
        <v>6259.4</v>
      </c>
      <c r="D142" s="72">
        <f>C142/C144</f>
        <v>53.226190476190474</v>
      </c>
      <c r="E142" s="74">
        <f>(D143+0.0045)/0.0056</f>
        <v>3.4456997084548107</v>
      </c>
      <c r="F142" s="97">
        <f>(C143/(C142+C143))</f>
        <v>2.779046627291516E-4</v>
      </c>
      <c r="G142" s="106"/>
      <c r="H142" s="106"/>
      <c r="I142" s="59"/>
    </row>
    <row r="143" spans="1:9" x14ac:dyDescent="0.4">
      <c r="A143" s="65" t="s">
        <v>5</v>
      </c>
      <c r="B143" s="70">
        <v>4.83</v>
      </c>
      <c r="C143" s="71">
        <v>1.74</v>
      </c>
      <c r="D143" s="31">
        <f>C143/C144</f>
        <v>1.4795918367346939E-2</v>
      </c>
      <c r="E143" s="74"/>
      <c r="F143" s="72"/>
      <c r="G143" s="59"/>
      <c r="H143" s="59"/>
      <c r="I143" s="59"/>
    </row>
    <row r="144" spans="1:9" ht="15" thickBot="1" x14ac:dyDescent="0.45">
      <c r="A144" s="65" t="s">
        <v>4</v>
      </c>
      <c r="B144" s="75">
        <v>6.2119999999999997</v>
      </c>
      <c r="C144" s="76">
        <v>117.6</v>
      </c>
      <c r="D144" s="76"/>
      <c r="E144" s="77"/>
      <c r="F144" s="100">
        <f>C144/(C142+C143+C144)</f>
        <v>1.8436242894364716E-2</v>
      </c>
      <c r="G144" s="59"/>
      <c r="H144" s="59"/>
      <c r="I144" s="59"/>
    </row>
    <row r="145" spans="1:9" ht="15" thickBot="1" x14ac:dyDescent="0.45">
      <c r="A145" s="1" t="s">
        <v>376</v>
      </c>
      <c r="B145" s="78"/>
      <c r="C145" s="78"/>
      <c r="D145" s="78"/>
      <c r="E145" s="78"/>
      <c r="F145" s="78"/>
      <c r="G145" s="87"/>
      <c r="H145" s="87"/>
      <c r="I145" s="87"/>
    </row>
    <row r="146" spans="1:9" x14ac:dyDescent="0.4">
      <c r="A146" s="65" t="s">
        <v>0</v>
      </c>
      <c r="B146" s="66" t="s">
        <v>2</v>
      </c>
      <c r="C146" s="67" t="s">
        <v>1</v>
      </c>
      <c r="D146" s="67" t="s">
        <v>113</v>
      </c>
      <c r="E146" s="11" t="s">
        <v>69</v>
      </c>
      <c r="F146" s="65" t="s">
        <v>180</v>
      </c>
      <c r="G146" s="21"/>
      <c r="H146" s="21"/>
      <c r="I146" s="87"/>
    </row>
    <row r="147" spans="1:9" x14ac:dyDescent="0.4">
      <c r="A147" s="65" t="s">
        <v>3</v>
      </c>
      <c r="B147" s="70">
        <v>3.14</v>
      </c>
      <c r="C147" s="59">
        <v>6865.4</v>
      </c>
      <c r="D147" s="72">
        <f>C147/C149</f>
        <v>53.635937499999997</v>
      </c>
      <c r="E147" s="74">
        <f>(D148+0.0045)/0.0056</f>
        <v>5.5189732142857144</v>
      </c>
      <c r="F147" s="97">
        <f>(C148/(C147+C148))</f>
        <v>4.9208156324703951E-4</v>
      </c>
      <c r="G147" s="106"/>
      <c r="H147" s="106"/>
      <c r="I147" s="87"/>
    </row>
    <row r="148" spans="1:9" x14ac:dyDescent="0.4">
      <c r="A148" s="65" t="s">
        <v>5</v>
      </c>
      <c r="B148" s="70">
        <v>4.83</v>
      </c>
      <c r="C148" s="59">
        <v>3.38</v>
      </c>
      <c r="D148" s="31">
        <f>C148/C149</f>
        <v>2.6406249999999999E-2</v>
      </c>
      <c r="E148" s="74"/>
      <c r="F148" s="65"/>
      <c r="G148" s="87"/>
      <c r="H148" s="87"/>
      <c r="I148" s="87"/>
    </row>
    <row r="149" spans="1:9" ht="15" thickBot="1" x14ac:dyDescent="0.45">
      <c r="A149" s="65" t="s">
        <v>4</v>
      </c>
      <c r="B149" s="75">
        <v>6.2119999999999997</v>
      </c>
      <c r="C149" s="76">
        <v>128</v>
      </c>
      <c r="D149" s="76"/>
      <c r="E149" s="77"/>
      <c r="F149" s="100">
        <f>C149/(C147+C148+C149)</f>
        <v>1.8294129585323535E-2</v>
      </c>
      <c r="G149" s="87"/>
      <c r="H149" s="87"/>
      <c r="I149" s="87"/>
    </row>
    <row r="150" spans="1:9" ht="15" thickBot="1" x14ac:dyDescent="0.45">
      <c r="A150" s="1" t="s">
        <v>377</v>
      </c>
      <c r="B150" s="78"/>
      <c r="C150" s="78"/>
      <c r="D150" s="78"/>
      <c r="E150" s="78"/>
      <c r="F150" s="79"/>
      <c r="G150" s="87"/>
      <c r="H150" s="87"/>
      <c r="I150" s="87"/>
    </row>
    <row r="151" spans="1:9" x14ac:dyDescent="0.4">
      <c r="A151" t="s">
        <v>0</v>
      </c>
      <c r="B151" s="66" t="s">
        <v>2</v>
      </c>
      <c r="C151" s="67" t="s">
        <v>1</v>
      </c>
      <c r="D151" s="67" t="s">
        <v>113</v>
      </c>
      <c r="E151" s="11" t="s">
        <v>69</v>
      </c>
      <c r="F151" s="65" t="s">
        <v>180</v>
      </c>
      <c r="G151" s="21"/>
      <c r="H151" s="21"/>
      <c r="I151" s="21"/>
    </row>
    <row r="152" spans="1:9" x14ac:dyDescent="0.4">
      <c r="A152" t="s">
        <v>3</v>
      </c>
      <c r="B152" s="18">
        <v>3.1</v>
      </c>
      <c r="C152" s="59">
        <v>6849.4</v>
      </c>
      <c r="D152" s="8">
        <f>C152/C154</f>
        <v>53.805184603299288</v>
      </c>
      <c r="E152" s="74">
        <f>(D153+0.0045)/0.0056</f>
        <v>4.2824177982269109</v>
      </c>
      <c r="F152" s="97">
        <f>(C153/(C152+C153))</f>
        <v>3.6194445903897914E-4</v>
      </c>
      <c r="G152" s="106"/>
      <c r="H152" s="106"/>
      <c r="I152" s="21"/>
    </row>
    <row r="153" spans="1:9" x14ac:dyDescent="0.4">
      <c r="A153" t="s">
        <v>5</v>
      </c>
      <c r="B153" s="18">
        <v>4.83</v>
      </c>
      <c r="C153" s="59">
        <v>2.48</v>
      </c>
      <c r="D153" s="32">
        <f>C153/C154</f>
        <v>1.9481539670070699E-2</v>
      </c>
      <c r="E153" s="13"/>
      <c r="F153" s="94"/>
      <c r="G153" s="21"/>
      <c r="H153" s="21"/>
      <c r="I153" s="21"/>
    </row>
    <row r="154" spans="1:9" ht="15" thickBot="1" x14ac:dyDescent="0.45">
      <c r="A154" t="s">
        <v>4</v>
      </c>
      <c r="B154" s="20">
        <v>6.2119999999999997</v>
      </c>
      <c r="C154" s="16">
        <v>127.3</v>
      </c>
      <c r="D154" s="16"/>
      <c r="E154" s="24"/>
      <c r="F154" s="100">
        <f>C154/(C152+C153+C154)</f>
        <v>1.8239965153499408E-2</v>
      </c>
      <c r="G154" s="21"/>
      <c r="H154" s="21"/>
      <c r="I154" s="21"/>
    </row>
    <row r="155" spans="1:9" ht="15" thickBot="1" x14ac:dyDescent="0.45">
      <c r="A155" s="1" t="s">
        <v>378</v>
      </c>
      <c r="B155" s="1"/>
      <c r="C155" s="1"/>
      <c r="D155" s="1"/>
      <c r="E155" s="1"/>
      <c r="F155" s="1"/>
      <c r="G155" s="60"/>
      <c r="H155" s="60"/>
      <c r="I155" s="60"/>
    </row>
    <row r="156" spans="1:9" x14ac:dyDescent="0.4">
      <c r="A156" s="65" t="s">
        <v>0</v>
      </c>
      <c r="B156" s="66" t="s">
        <v>2</v>
      </c>
      <c r="C156" s="67" t="s">
        <v>1</v>
      </c>
      <c r="D156" s="67" t="s">
        <v>113</v>
      </c>
      <c r="E156" s="11" t="s">
        <v>69</v>
      </c>
      <c r="F156" s="65" t="s">
        <v>180</v>
      </c>
      <c r="G156" s="21"/>
      <c r="H156" s="21"/>
      <c r="I156" s="59"/>
    </row>
    <row r="157" spans="1:9" x14ac:dyDescent="0.4">
      <c r="A157" s="65" t="s">
        <v>3</v>
      </c>
      <c r="B157" s="70">
        <v>3.1</v>
      </c>
      <c r="C157" s="71">
        <v>7134.5</v>
      </c>
      <c r="D157" s="72">
        <f>C157/C159</f>
        <v>54.880769230769232</v>
      </c>
      <c r="E157" s="74">
        <f>(D158+0.0045)/0.0056</f>
        <v>3.4958791208791204</v>
      </c>
      <c r="F157" s="97">
        <f>(C158/(C157+C158))</f>
        <v>2.7464597293335911E-4</v>
      </c>
      <c r="G157" s="106"/>
      <c r="H157" s="106"/>
      <c r="I157" s="59"/>
    </row>
    <row r="158" spans="1:9" x14ac:dyDescent="0.4">
      <c r="A158" s="65" t="s">
        <v>5</v>
      </c>
      <c r="B158" s="70">
        <v>4.83</v>
      </c>
      <c r="C158" s="71">
        <v>1.96</v>
      </c>
      <c r="D158" s="31">
        <f>C158/C159</f>
        <v>1.5076923076923076E-2</v>
      </c>
      <c r="E158" s="74"/>
      <c r="F158" s="72"/>
      <c r="G158" s="59"/>
      <c r="H158" s="59"/>
      <c r="I158" s="59"/>
    </row>
    <row r="159" spans="1:9" ht="15" thickBot="1" x14ac:dyDescent="0.45">
      <c r="A159" s="65" t="s">
        <v>4</v>
      </c>
      <c r="B159" s="75">
        <v>6.2119999999999997</v>
      </c>
      <c r="C159" s="76">
        <v>130</v>
      </c>
      <c r="D159" s="76"/>
      <c r="E159" s="77"/>
      <c r="F159" s="100">
        <f>C159/(C157+C158+C159)</f>
        <v>1.7890417066907409E-2</v>
      </c>
      <c r="G159" s="59"/>
      <c r="H159" s="59"/>
      <c r="I159" s="59"/>
    </row>
    <row r="160" spans="1:9" ht="15" thickBot="1" x14ac:dyDescent="0.45">
      <c r="A160" s="1" t="s">
        <v>379</v>
      </c>
      <c r="B160" s="78"/>
      <c r="C160" s="78"/>
      <c r="D160" s="78"/>
      <c r="E160" s="78"/>
      <c r="F160" s="78"/>
      <c r="G160" s="87"/>
      <c r="H160" s="87"/>
      <c r="I160" s="87"/>
    </row>
    <row r="161" spans="1:9" x14ac:dyDescent="0.4">
      <c r="A161" s="65" t="s">
        <v>0</v>
      </c>
      <c r="B161" s="66" t="s">
        <v>2</v>
      </c>
      <c r="C161" s="67" t="s">
        <v>1</v>
      </c>
      <c r="D161" s="67" t="s">
        <v>113</v>
      </c>
      <c r="E161" s="11" t="s">
        <v>69</v>
      </c>
      <c r="F161" s="65" t="s">
        <v>180</v>
      </c>
      <c r="G161" s="21"/>
      <c r="H161" s="21"/>
      <c r="I161" s="87"/>
    </row>
    <row r="162" spans="1:9" x14ac:dyDescent="0.4">
      <c r="A162" s="65" t="s">
        <v>3</v>
      </c>
      <c r="B162" s="70">
        <v>3.14</v>
      </c>
      <c r="C162" s="59">
        <v>7534.8</v>
      </c>
      <c r="D162" s="72">
        <f>C162/C164</f>
        <v>53.136812411847671</v>
      </c>
      <c r="E162" s="74">
        <f>(D163+0.0045)/0.0056</f>
        <v>2.2266018537175096</v>
      </c>
      <c r="F162" s="97">
        <f>(C163/(C162+C163))</f>
        <v>1.49948314275743E-4</v>
      </c>
      <c r="G162" s="106"/>
      <c r="H162" s="106"/>
      <c r="I162" s="87"/>
    </row>
    <row r="163" spans="1:9" x14ac:dyDescent="0.4">
      <c r="A163" s="65" t="s">
        <v>5</v>
      </c>
      <c r="B163" s="70">
        <v>4.83</v>
      </c>
      <c r="C163" s="59">
        <v>1.1299999999999999</v>
      </c>
      <c r="D163" s="31">
        <f>C163/C164</f>
        <v>7.968970380818053E-3</v>
      </c>
      <c r="E163" s="74"/>
      <c r="F163" s="65"/>
      <c r="G163" s="87"/>
      <c r="H163" s="87"/>
      <c r="I163" s="87"/>
    </row>
    <row r="164" spans="1:9" ht="15" thickBot="1" x14ac:dyDescent="0.45">
      <c r="A164" s="65" t="s">
        <v>4</v>
      </c>
      <c r="B164" s="75">
        <v>6.2119999999999997</v>
      </c>
      <c r="C164" s="76">
        <v>141.80000000000001</v>
      </c>
      <c r="D164" s="76"/>
      <c r="E164" s="77"/>
      <c r="F164" s="100">
        <f>C164/(C162+C163+C164)</f>
        <v>1.8469000603042827E-2</v>
      </c>
      <c r="G164" s="87"/>
      <c r="H164" s="87"/>
      <c r="I164" s="87"/>
    </row>
    <row r="165" spans="1:9" x14ac:dyDescent="0.4">
      <c r="A165" s="4" t="s">
        <v>401</v>
      </c>
      <c r="B165" s="4"/>
      <c r="C165" s="4"/>
      <c r="D165" s="4"/>
      <c r="E165" s="4"/>
      <c r="F165" s="4"/>
      <c r="G165" s="4"/>
      <c r="H165" s="4"/>
      <c r="I165" s="4"/>
    </row>
    <row r="166" spans="1:9" ht="15" thickBot="1" x14ac:dyDescent="0.45">
      <c r="A166" s="1" t="s">
        <v>372</v>
      </c>
      <c r="B166" s="1"/>
      <c r="C166" s="1"/>
      <c r="D166" s="1"/>
      <c r="E166" s="1"/>
      <c r="F166" s="1"/>
      <c r="G166" s="60"/>
      <c r="H166" s="60"/>
      <c r="I166" s="60"/>
    </row>
    <row r="167" spans="1:9" x14ac:dyDescent="0.4">
      <c r="A167" s="65" t="s">
        <v>0</v>
      </c>
      <c r="B167" s="66" t="s">
        <v>2</v>
      </c>
      <c r="C167" s="67" t="s">
        <v>1</v>
      </c>
      <c r="D167" s="67" t="s">
        <v>113</v>
      </c>
      <c r="E167" s="11" t="s">
        <v>69</v>
      </c>
      <c r="F167" s="65" t="s">
        <v>180</v>
      </c>
      <c r="G167" s="21"/>
      <c r="H167" s="21"/>
      <c r="I167" s="59"/>
    </row>
    <row r="168" spans="1:9" x14ac:dyDescent="0.4">
      <c r="A168" s="65" t="s">
        <v>3</v>
      </c>
      <c r="B168" s="70">
        <v>3.1</v>
      </c>
      <c r="C168" s="71">
        <v>6101.5</v>
      </c>
      <c r="D168" s="72">
        <f>C168/C170</f>
        <v>52.872616984402079</v>
      </c>
      <c r="E168" s="74">
        <f>(D169+0.0045)/0.0056</f>
        <v>17.360887595939587</v>
      </c>
      <c r="F168" s="97">
        <f>(C169/(C168+C169))</f>
        <v>1.7505971663230914E-3</v>
      </c>
      <c r="G168" s="106"/>
      <c r="H168" s="106"/>
      <c r="I168" s="59"/>
    </row>
    <row r="169" spans="1:9" x14ac:dyDescent="0.4">
      <c r="A169" s="65" t="s">
        <v>5</v>
      </c>
      <c r="B169" s="70">
        <v>4.83</v>
      </c>
      <c r="C169" s="71">
        <v>10.7</v>
      </c>
      <c r="D169" s="31">
        <f>C169/C170</f>
        <v>9.2720970537261693E-2</v>
      </c>
      <c r="E169" s="74"/>
      <c r="F169" s="72"/>
      <c r="G169" s="59"/>
      <c r="H169" s="59"/>
      <c r="I169" s="59"/>
    </row>
    <row r="170" spans="1:9" ht="15" thickBot="1" x14ac:dyDescent="0.45">
      <c r="A170" s="65" t="s">
        <v>4</v>
      </c>
      <c r="B170" s="75">
        <v>6.2119999999999997</v>
      </c>
      <c r="C170" s="76">
        <v>115.4</v>
      </c>
      <c r="D170" s="76"/>
      <c r="E170" s="77"/>
      <c r="F170" s="100">
        <f>C170/(C168+C169+C170)</f>
        <v>1.8530413000192692E-2</v>
      </c>
      <c r="G170" s="59"/>
      <c r="H170" s="59"/>
      <c r="I170" s="59"/>
    </row>
    <row r="171" spans="1:9" ht="15" thickBot="1" x14ac:dyDescent="0.45">
      <c r="A171" s="1" t="s">
        <v>373</v>
      </c>
      <c r="B171" s="78"/>
      <c r="C171" s="78"/>
      <c r="D171" s="78"/>
      <c r="E171" s="78"/>
      <c r="F171" s="78"/>
      <c r="G171" s="87"/>
      <c r="H171" s="87"/>
      <c r="I171" s="87"/>
    </row>
    <row r="172" spans="1:9" x14ac:dyDescent="0.4">
      <c r="A172" s="65" t="s">
        <v>0</v>
      </c>
      <c r="B172" s="66" t="s">
        <v>2</v>
      </c>
      <c r="C172" s="67" t="s">
        <v>1</v>
      </c>
      <c r="D172" s="67" t="s">
        <v>113</v>
      </c>
      <c r="E172" s="11" t="s">
        <v>69</v>
      </c>
      <c r="F172" s="65" t="s">
        <v>180</v>
      </c>
      <c r="G172" s="21"/>
      <c r="H172" s="21"/>
      <c r="I172" s="87"/>
    </row>
    <row r="173" spans="1:9" x14ac:dyDescent="0.4">
      <c r="A173" s="65" t="s">
        <v>3</v>
      </c>
      <c r="B173" s="70">
        <v>3.14</v>
      </c>
      <c r="C173" s="59">
        <v>6230.7</v>
      </c>
      <c r="D173" s="72">
        <f>C173/C175</f>
        <v>52.802542372881355</v>
      </c>
      <c r="E173" s="74">
        <f>(D174+0.0045)/0.0056</f>
        <v>10.51906779661017</v>
      </c>
      <c r="F173" s="97">
        <f>(C174/(C173+C174))</f>
        <v>1.0293212251808526E-3</v>
      </c>
      <c r="G173" s="106"/>
      <c r="H173" s="106"/>
      <c r="I173" s="87"/>
    </row>
    <row r="174" spans="1:9" x14ac:dyDescent="0.4">
      <c r="A174" s="65" t="s">
        <v>5</v>
      </c>
      <c r="B174" s="70">
        <v>4.83</v>
      </c>
      <c r="C174" s="59">
        <v>6.42</v>
      </c>
      <c r="D174" s="31">
        <f>C174/C175</f>
        <v>5.4406779661016952E-2</v>
      </c>
      <c r="E174" s="74"/>
      <c r="F174" s="65"/>
      <c r="G174" s="87"/>
      <c r="H174" s="87"/>
      <c r="I174" s="87"/>
    </row>
    <row r="175" spans="1:9" ht="15" thickBot="1" x14ac:dyDescent="0.45">
      <c r="A175" s="65" t="s">
        <v>4</v>
      </c>
      <c r="B175" s="75">
        <v>6.2119999999999997</v>
      </c>
      <c r="C175" s="76">
        <v>118</v>
      </c>
      <c r="D175" s="76"/>
      <c r="E175" s="77"/>
      <c r="F175" s="100">
        <f>C175/(C173+C174+C175)</f>
        <v>1.8567706038595651E-2</v>
      </c>
      <c r="G175" s="87"/>
      <c r="H175" s="87"/>
      <c r="I175" s="87"/>
    </row>
    <row r="176" spans="1:9" ht="15" thickBot="1" x14ac:dyDescent="0.45">
      <c r="A176" s="1" t="s">
        <v>374</v>
      </c>
      <c r="B176" s="78"/>
      <c r="C176" s="78"/>
      <c r="D176" s="78"/>
      <c r="E176" s="78"/>
      <c r="F176" s="79"/>
      <c r="G176" s="87"/>
      <c r="H176" s="87"/>
      <c r="I176" s="87"/>
    </row>
    <row r="177" spans="1:9" x14ac:dyDescent="0.4">
      <c r="A177" t="s">
        <v>0</v>
      </c>
      <c r="B177" s="66" t="s">
        <v>2</v>
      </c>
      <c r="C177" s="67" t="s">
        <v>1</v>
      </c>
      <c r="D177" s="67" t="s">
        <v>113</v>
      </c>
      <c r="E177" s="11" t="s">
        <v>69</v>
      </c>
      <c r="F177" s="65" t="s">
        <v>180</v>
      </c>
      <c r="G177" s="21"/>
      <c r="H177" s="21"/>
      <c r="I177" s="21"/>
    </row>
    <row r="178" spans="1:9" x14ac:dyDescent="0.4">
      <c r="A178" t="s">
        <v>3</v>
      </c>
      <c r="B178" s="18">
        <v>3.1</v>
      </c>
      <c r="C178" s="59">
        <v>6388.59</v>
      </c>
      <c r="D178" s="8">
        <f>C178/C180</f>
        <v>53.416304347826092</v>
      </c>
      <c r="E178" s="74">
        <f>(D179+0.0045)/0.0056</f>
        <v>20.064202102245584</v>
      </c>
      <c r="F178" s="97">
        <f>(C179/(C178+C179))</f>
        <v>2.01515584652948E-3</v>
      </c>
      <c r="G178" s="106"/>
      <c r="H178" s="106"/>
      <c r="I178" s="21"/>
    </row>
    <row r="179" spans="1:9" x14ac:dyDescent="0.4">
      <c r="A179" t="s">
        <v>5</v>
      </c>
      <c r="B179" s="18">
        <v>4.83</v>
      </c>
      <c r="C179" s="59">
        <v>12.9</v>
      </c>
      <c r="D179" s="32">
        <f>C179/C180</f>
        <v>0.10785953177257526</v>
      </c>
      <c r="E179" s="13"/>
      <c r="F179" s="94"/>
      <c r="G179" s="21"/>
      <c r="H179" s="21"/>
      <c r="I179" s="21"/>
    </row>
    <row r="180" spans="1:9" ht="15" thickBot="1" x14ac:dyDescent="0.45">
      <c r="A180" t="s">
        <v>4</v>
      </c>
      <c r="B180" s="20">
        <v>6.2119999999999997</v>
      </c>
      <c r="C180" s="16">
        <v>119.6</v>
      </c>
      <c r="D180" s="16"/>
      <c r="E180" s="24"/>
      <c r="F180" s="100">
        <f>C180/(C178+C179+C180)</f>
        <v>1.8340492156986025E-2</v>
      </c>
      <c r="G180" s="21"/>
      <c r="H180" s="21"/>
      <c r="I180" s="21"/>
    </row>
    <row r="181" spans="1:9" ht="15" thickBot="1" x14ac:dyDescent="0.45">
      <c r="A181" s="1" t="s">
        <v>375</v>
      </c>
      <c r="B181" s="1"/>
      <c r="C181" s="1"/>
      <c r="D181" s="1"/>
      <c r="E181" s="1"/>
      <c r="F181" s="1"/>
      <c r="G181" s="60"/>
      <c r="H181" s="60"/>
      <c r="I181" s="60"/>
    </row>
    <row r="182" spans="1:9" x14ac:dyDescent="0.4">
      <c r="A182" s="65" t="s">
        <v>0</v>
      </c>
      <c r="B182" s="66" t="s">
        <v>2</v>
      </c>
      <c r="C182" s="67" t="s">
        <v>1</v>
      </c>
      <c r="D182" s="67" t="s">
        <v>113</v>
      </c>
      <c r="E182" s="11" t="s">
        <v>69</v>
      </c>
      <c r="F182" s="65" t="s">
        <v>180</v>
      </c>
      <c r="G182" s="21"/>
      <c r="H182" s="21"/>
      <c r="I182" s="59"/>
    </row>
    <row r="183" spans="1:9" x14ac:dyDescent="0.4">
      <c r="A183" s="65" t="s">
        <v>3</v>
      </c>
      <c r="B183" s="70">
        <v>3.1</v>
      </c>
      <c r="C183" s="71">
        <v>6080.5</v>
      </c>
      <c r="D183" s="72">
        <f>C183/C185</f>
        <v>53.478452066842564</v>
      </c>
      <c r="E183" s="74">
        <f>(D184+0.0045)/0.0056</f>
        <v>10.101221887171754</v>
      </c>
      <c r="F183" s="97">
        <f>(C184/(C183+C184))</f>
        <v>9.7265716135265068E-4</v>
      </c>
      <c r="G183" s="106"/>
      <c r="H183" s="106"/>
      <c r="I183" s="59"/>
    </row>
    <row r="184" spans="1:9" x14ac:dyDescent="0.4">
      <c r="A184" s="65" t="s">
        <v>5</v>
      </c>
      <c r="B184" s="70">
        <v>4.83</v>
      </c>
      <c r="C184" s="71">
        <v>5.92</v>
      </c>
      <c r="D184" s="31">
        <f>C184/C185</f>
        <v>5.2066842568161825E-2</v>
      </c>
      <c r="E184" s="74"/>
      <c r="F184" s="72"/>
      <c r="G184" s="59"/>
      <c r="H184" s="59"/>
      <c r="I184" s="59"/>
    </row>
    <row r="185" spans="1:9" ht="15" thickBot="1" x14ac:dyDescent="0.45">
      <c r="A185" s="65" t="s">
        <v>4</v>
      </c>
      <c r="B185" s="75">
        <v>6.2119999999999997</v>
      </c>
      <c r="C185" s="76">
        <v>113.7</v>
      </c>
      <c r="D185" s="76"/>
      <c r="E185" s="77"/>
      <c r="F185" s="100">
        <f>C185/(C183+C184+C185)</f>
        <v>1.8338354741521134E-2</v>
      </c>
      <c r="G185" s="59"/>
      <c r="H185" s="59"/>
      <c r="I185" s="59"/>
    </row>
    <row r="186" spans="1:9" ht="15" thickBot="1" x14ac:dyDescent="0.45">
      <c r="A186" s="1" t="s">
        <v>376</v>
      </c>
      <c r="B186" s="78"/>
      <c r="C186" s="78"/>
      <c r="D186" s="78"/>
      <c r="E186" s="78"/>
      <c r="F186" s="78"/>
      <c r="G186" s="87"/>
      <c r="H186" s="87"/>
      <c r="I186" s="87"/>
    </row>
    <row r="187" spans="1:9" x14ac:dyDescent="0.4">
      <c r="A187" s="65" t="s">
        <v>0</v>
      </c>
      <c r="B187" s="66" t="s">
        <v>2</v>
      </c>
      <c r="C187" s="67" t="s">
        <v>1</v>
      </c>
      <c r="D187" s="67" t="s">
        <v>113</v>
      </c>
      <c r="E187" s="11" t="s">
        <v>69</v>
      </c>
      <c r="F187" s="65" t="s">
        <v>180</v>
      </c>
      <c r="G187" s="21"/>
      <c r="H187" s="21"/>
      <c r="I187" s="87"/>
    </row>
    <row r="188" spans="1:9" x14ac:dyDescent="0.4">
      <c r="A188" s="65" t="s">
        <v>3</v>
      </c>
      <c r="B188" s="70">
        <v>3.14</v>
      </c>
      <c r="C188" s="59">
        <v>5887.5</v>
      </c>
      <c r="D188" s="72">
        <f>C188/C190</f>
        <v>52.755376344086024</v>
      </c>
      <c r="E188" s="74">
        <f>(D189+0.0045)/0.0056</f>
        <v>25.605158730158731</v>
      </c>
      <c r="F188" s="97">
        <f>(C189/(C188+C189))</f>
        <v>2.6257834999152971E-3</v>
      </c>
      <c r="G188" s="106"/>
      <c r="H188" s="106"/>
      <c r="I188" s="87"/>
    </row>
    <row r="189" spans="1:9" x14ac:dyDescent="0.4">
      <c r="A189" s="65" t="s">
        <v>5</v>
      </c>
      <c r="B189" s="70">
        <v>4.83</v>
      </c>
      <c r="C189" s="59">
        <v>15.5</v>
      </c>
      <c r="D189" s="31">
        <f>C189/C190</f>
        <v>0.1388888888888889</v>
      </c>
      <c r="E189" s="74"/>
      <c r="F189" s="65"/>
      <c r="G189" s="87"/>
      <c r="H189" s="87"/>
      <c r="I189" s="87"/>
    </row>
    <row r="190" spans="1:9" ht="15" thickBot="1" x14ac:dyDescent="0.45">
      <c r="A190" s="65" t="s">
        <v>4</v>
      </c>
      <c r="B190" s="75">
        <v>6.2119999999999997</v>
      </c>
      <c r="C190" s="76">
        <v>111.6</v>
      </c>
      <c r="D190" s="76"/>
      <c r="E190" s="77"/>
      <c r="F190" s="100">
        <f>C190/(C188+C189+C190)</f>
        <v>1.85548498653277E-2</v>
      </c>
      <c r="G190" s="87"/>
      <c r="H190" s="87"/>
      <c r="I190" s="87"/>
    </row>
    <row r="191" spans="1:9" ht="15" thickBot="1" x14ac:dyDescent="0.45">
      <c r="A191" s="1" t="s">
        <v>377</v>
      </c>
      <c r="B191" s="78"/>
      <c r="C191" s="78"/>
      <c r="D191" s="78"/>
      <c r="E191" s="78"/>
      <c r="F191" s="79"/>
      <c r="G191" s="87"/>
      <c r="H191" s="87"/>
      <c r="I191" s="87"/>
    </row>
    <row r="192" spans="1:9" x14ac:dyDescent="0.4">
      <c r="A192" t="s">
        <v>0</v>
      </c>
      <c r="B192" s="66" t="s">
        <v>2</v>
      </c>
      <c r="C192" s="67" t="s">
        <v>1</v>
      </c>
      <c r="D192" s="67" t="s">
        <v>113</v>
      </c>
      <c r="E192" s="11" t="s">
        <v>69</v>
      </c>
      <c r="F192" s="65" t="s">
        <v>180</v>
      </c>
      <c r="G192" s="21"/>
      <c r="H192" s="21"/>
      <c r="I192" s="21"/>
    </row>
    <row r="193" spans="1:9" x14ac:dyDescent="0.4">
      <c r="A193" t="s">
        <v>3</v>
      </c>
      <c r="B193" s="18">
        <v>3.1</v>
      </c>
      <c r="C193" s="59">
        <v>5822.9</v>
      </c>
      <c r="D193" s="8">
        <f>C193/C195</f>
        <v>52.553249097472921</v>
      </c>
      <c r="E193" s="74">
        <f>(D194+0.0045)/0.0056</f>
        <v>15.147305312016504</v>
      </c>
      <c r="F193" s="97">
        <f>(C194/(C193+C194))</f>
        <v>1.5261154360574783E-3</v>
      </c>
      <c r="G193" s="106"/>
      <c r="H193" s="106"/>
      <c r="I193" s="21"/>
    </row>
    <row r="194" spans="1:9" x14ac:dyDescent="0.4">
      <c r="A194" t="s">
        <v>5</v>
      </c>
      <c r="B194" s="18">
        <v>4.83</v>
      </c>
      <c r="C194" s="59">
        <v>8.9</v>
      </c>
      <c r="D194" s="32">
        <f>C194/C195</f>
        <v>8.0324909747292422E-2</v>
      </c>
      <c r="E194" s="13"/>
      <c r="F194" s="94"/>
      <c r="G194" s="21"/>
      <c r="H194" s="21"/>
      <c r="I194" s="21"/>
    </row>
    <row r="195" spans="1:9" ht="15" thickBot="1" x14ac:dyDescent="0.45">
      <c r="A195" t="s">
        <v>4</v>
      </c>
      <c r="B195" s="20">
        <v>6.2119999999999997</v>
      </c>
      <c r="C195" s="16">
        <v>110.8</v>
      </c>
      <c r="D195" s="16"/>
      <c r="E195" s="24"/>
      <c r="F195" s="100">
        <f>C195/(C193+C194+C195)</f>
        <v>1.864503752566217E-2</v>
      </c>
      <c r="G195" s="21"/>
      <c r="H195" s="21"/>
      <c r="I195" s="21"/>
    </row>
    <row r="196" spans="1:9" ht="15" thickBot="1" x14ac:dyDescent="0.45">
      <c r="A196" s="1" t="s">
        <v>378</v>
      </c>
      <c r="B196" s="1"/>
      <c r="C196" s="1"/>
      <c r="D196" s="1"/>
      <c r="E196" s="1"/>
      <c r="F196" s="1"/>
      <c r="G196" s="60"/>
      <c r="H196" s="60"/>
      <c r="I196" s="60"/>
    </row>
    <row r="197" spans="1:9" x14ac:dyDescent="0.4">
      <c r="A197" s="65" t="s">
        <v>0</v>
      </c>
      <c r="B197" s="66" t="s">
        <v>2</v>
      </c>
      <c r="C197" s="67" t="s">
        <v>1</v>
      </c>
      <c r="D197" s="67" t="s">
        <v>113</v>
      </c>
      <c r="E197" s="11" t="s">
        <v>69</v>
      </c>
      <c r="F197" s="65" t="s">
        <v>180</v>
      </c>
      <c r="G197" s="21"/>
      <c r="H197" s="21"/>
      <c r="I197" s="59"/>
    </row>
    <row r="198" spans="1:9" x14ac:dyDescent="0.4">
      <c r="A198" s="65" t="s">
        <v>3</v>
      </c>
      <c r="B198" s="70">
        <v>3.1</v>
      </c>
      <c r="C198" s="71">
        <v>6288.67</v>
      </c>
      <c r="D198" s="72">
        <f>C198/C200</f>
        <v>52.405583333333333</v>
      </c>
      <c r="E198" s="74">
        <f>(D199+0.0045)/0.0056</f>
        <v>12.529761904761905</v>
      </c>
      <c r="F198" s="97">
        <f>(C199/(C198+C199))</f>
        <v>1.2514789845232707E-3</v>
      </c>
      <c r="G198" s="106"/>
      <c r="H198" s="106"/>
      <c r="I198" s="59"/>
    </row>
    <row r="199" spans="1:9" x14ac:dyDescent="0.4">
      <c r="A199" s="65" t="s">
        <v>5</v>
      </c>
      <c r="B199" s="70">
        <v>4.83</v>
      </c>
      <c r="C199" s="71">
        <v>7.88</v>
      </c>
      <c r="D199" s="31">
        <f>C199/C200</f>
        <v>6.5666666666666665E-2</v>
      </c>
      <c r="E199" s="74"/>
      <c r="F199" s="72"/>
      <c r="G199" s="59"/>
      <c r="H199" s="59"/>
      <c r="I199" s="59"/>
    </row>
    <row r="200" spans="1:9" ht="15" thickBot="1" x14ac:dyDescent="0.45">
      <c r="A200" s="65" t="s">
        <v>4</v>
      </c>
      <c r="B200" s="75">
        <v>6.2119999999999997</v>
      </c>
      <c r="C200" s="76">
        <v>120</v>
      </c>
      <c r="D200" s="76"/>
      <c r="E200" s="77"/>
      <c r="F200" s="100">
        <f>C200/(C198+C199+C200)</f>
        <v>1.870163873109381E-2</v>
      </c>
      <c r="G200" s="59"/>
      <c r="H200" s="59"/>
      <c r="I200" s="59"/>
    </row>
    <row r="201" spans="1:9" ht="15" thickBot="1" x14ac:dyDescent="0.45">
      <c r="A201" s="1" t="s">
        <v>379</v>
      </c>
      <c r="B201" s="78"/>
      <c r="C201" s="78"/>
      <c r="D201" s="78"/>
      <c r="E201" s="78"/>
      <c r="F201" s="78"/>
      <c r="G201" s="87"/>
      <c r="H201" s="87"/>
      <c r="I201" s="87"/>
    </row>
    <row r="202" spans="1:9" x14ac:dyDescent="0.4">
      <c r="A202" s="65" t="s">
        <v>0</v>
      </c>
      <c r="B202" s="66" t="s">
        <v>2</v>
      </c>
      <c r="C202" s="67" t="s">
        <v>1</v>
      </c>
      <c r="D202" s="67" t="s">
        <v>113</v>
      </c>
      <c r="E202" s="11" t="s">
        <v>69</v>
      </c>
      <c r="F202" s="65" t="s">
        <v>180</v>
      </c>
      <c r="G202" s="21"/>
      <c r="H202" s="21"/>
      <c r="I202" s="87"/>
    </row>
    <row r="203" spans="1:9" x14ac:dyDescent="0.4">
      <c r="A203" s="65" t="s">
        <v>3</v>
      </c>
      <c r="B203" s="70">
        <v>3.14</v>
      </c>
      <c r="C203" s="59">
        <v>6306.44</v>
      </c>
      <c r="D203" s="72">
        <f>C203/C205</f>
        <v>52.292205638474293</v>
      </c>
      <c r="E203" s="74">
        <f>(D204+0.0045)/0.0056</f>
        <v>4.9495084103293054</v>
      </c>
      <c r="F203" s="97">
        <f>(C204/(C203+C204))</f>
        <v>4.4379354724182309E-4</v>
      </c>
      <c r="G203" s="106"/>
      <c r="H203" s="106"/>
      <c r="I203" s="87"/>
    </row>
    <row r="204" spans="1:9" x14ac:dyDescent="0.4">
      <c r="A204" s="65" t="s">
        <v>5</v>
      </c>
      <c r="B204" s="70">
        <v>4.83</v>
      </c>
      <c r="C204" s="59">
        <v>2.8</v>
      </c>
      <c r="D204" s="31">
        <f>C204/C205</f>
        <v>2.3217247097844111E-2</v>
      </c>
      <c r="E204" s="74"/>
      <c r="F204" s="65"/>
      <c r="G204" s="87"/>
      <c r="H204" s="87"/>
      <c r="I204" s="87"/>
    </row>
    <row r="205" spans="1:9" ht="15" thickBot="1" x14ac:dyDescent="0.45">
      <c r="A205" s="65" t="s">
        <v>4</v>
      </c>
      <c r="B205" s="75">
        <v>6.2119999999999997</v>
      </c>
      <c r="C205" s="76">
        <v>120.6</v>
      </c>
      <c r="D205" s="76"/>
      <c r="E205" s="77"/>
      <c r="F205" s="100">
        <f>C205/(C203+C204+C205)</f>
        <v>1.8756298757045275E-2</v>
      </c>
      <c r="G205" s="87"/>
      <c r="H205" s="87"/>
      <c r="I205" s="87"/>
    </row>
    <row r="206" spans="1:9" x14ac:dyDescent="0.4">
      <c r="A206" s="4" t="s">
        <v>402</v>
      </c>
      <c r="B206" s="4"/>
      <c r="C206" s="4"/>
      <c r="D206" s="4"/>
      <c r="E206" s="4"/>
      <c r="F206" s="4"/>
      <c r="G206" s="4"/>
      <c r="H206" s="4"/>
      <c r="I206" s="4"/>
    </row>
    <row r="207" spans="1:9" ht="15" thickBot="1" x14ac:dyDescent="0.45">
      <c r="A207" s="1" t="s">
        <v>372</v>
      </c>
      <c r="B207" s="1"/>
      <c r="C207" s="1"/>
      <c r="D207" s="1"/>
      <c r="E207" s="1"/>
      <c r="F207" s="1"/>
      <c r="G207" s="60"/>
      <c r="H207" s="60"/>
      <c r="I207" s="60"/>
    </row>
    <row r="208" spans="1:9" x14ac:dyDescent="0.4">
      <c r="A208" s="65" t="s">
        <v>0</v>
      </c>
      <c r="B208" s="66" t="s">
        <v>2</v>
      </c>
      <c r="C208" s="67" t="s">
        <v>1</v>
      </c>
      <c r="D208" s="67" t="s">
        <v>113</v>
      </c>
      <c r="E208" s="11" t="s">
        <v>69</v>
      </c>
      <c r="F208" s="65" t="s">
        <v>180</v>
      </c>
      <c r="G208" s="21"/>
      <c r="H208" s="21"/>
      <c r="I208" s="59"/>
    </row>
    <row r="209" spans="1:9" x14ac:dyDescent="0.4">
      <c r="A209" s="65" t="s">
        <v>3</v>
      </c>
      <c r="B209" s="70">
        <v>3.1</v>
      </c>
      <c r="C209" s="71">
        <v>6146.54</v>
      </c>
      <c r="D209" s="72">
        <f>C209/C211</f>
        <v>50.257890433360586</v>
      </c>
      <c r="E209" s="74">
        <f>(D210+0.0045)/0.0056</f>
        <v>17.302812171475299</v>
      </c>
      <c r="F209" s="97">
        <f>(C210/(C209+C210))</f>
        <v>1.8350590466787056E-3</v>
      </c>
      <c r="G209" s="106"/>
      <c r="H209" s="106"/>
      <c r="I209" s="59"/>
    </row>
    <row r="210" spans="1:9" x14ac:dyDescent="0.4">
      <c r="A210" s="65" t="s">
        <v>5</v>
      </c>
      <c r="B210" s="70">
        <v>4.83</v>
      </c>
      <c r="C210" s="71">
        <v>11.3</v>
      </c>
      <c r="D210" s="31">
        <f>C210/C211</f>
        <v>9.2395748160261665E-2</v>
      </c>
      <c r="E210" s="74"/>
      <c r="F210" s="72"/>
      <c r="G210" s="59"/>
      <c r="H210" s="59"/>
      <c r="I210" s="59"/>
    </row>
    <row r="211" spans="1:9" ht="15" thickBot="1" x14ac:dyDescent="0.45">
      <c r="A211" s="65" t="s">
        <v>4</v>
      </c>
      <c r="B211" s="75">
        <v>6.2119999999999997</v>
      </c>
      <c r="C211" s="76">
        <v>122.3</v>
      </c>
      <c r="D211" s="76"/>
      <c r="E211" s="77"/>
      <c r="F211" s="100">
        <f>C211/(C209+C210+C211)</f>
        <v>1.9474088157270378E-2</v>
      </c>
      <c r="G211" s="59"/>
      <c r="H211" s="59"/>
      <c r="I211" s="59"/>
    </row>
    <row r="212" spans="1:9" ht="15" thickBot="1" x14ac:dyDescent="0.45">
      <c r="A212" s="1" t="s">
        <v>373</v>
      </c>
      <c r="B212" s="78"/>
      <c r="C212" s="78"/>
      <c r="D212" s="78"/>
      <c r="E212" s="78"/>
      <c r="F212" s="78"/>
      <c r="G212" s="87"/>
      <c r="H212" s="87"/>
      <c r="I212" s="87"/>
    </row>
    <row r="213" spans="1:9" x14ac:dyDescent="0.4">
      <c r="A213" s="65" t="s">
        <v>0</v>
      </c>
      <c r="B213" s="66" t="s">
        <v>2</v>
      </c>
      <c r="C213" s="67" t="s">
        <v>1</v>
      </c>
      <c r="D213" s="67" t="s">
        <v>113</v>
      </c>
      <c r="E213" s="11" t="s">
        <v>69</v>
      </c>
      <c r="F213" s="65" t="s">
        <v>180</v>
      </c>
      <c r="G213" s="21"/>
      <c r="H213" s="21"/>
      <c r="I213" s="87"/>
    </row>
    <row r="214" spans="1:9" x14ac:dyDescent="0.4">
      <c r="A214" s="65" t="s">
        <v>3</v>
      </c>
      <c r="B214" s="70">
        <v>3.14</v>
      </c>
      <c r="C214" s="59">
        <v>6071.4</v>
      </c>
      <c r="D214" s="72">
        <f>C214/C216</f>
        <v>53.539682539682531</v>
      </c>
      <c r="E214" s="74">
        <f>(D215+0.0045)/0.0056</f>
        <v>10.722631645250694</v>
      </c>
      <c r="F214" s="97">
        <f>(C215/(C214+C215))</f>
        <v>1.0364119710436466E-3</v>
      </c>
      <c r="G214" s="106"/>
      <c r="H214" s="106"/>
      <c r="I214" s="87"/>
    </row>
    <row r="215" spans="1:9" x14ac:dyDescent="0.4">
      <c r="A215" s="65" t="s">
        <v>5</v>
      </c>
      <c r="B215" s="70">
        <v>4.83</v>
      </c>
      <c r="C215" s="59">
        <v>6.2990000000000004</v>
      </c>
      <c r="D215" s="31">
        <f>C215/C216</f>
        <v>5.5546737213403884E-2</v>
      </c>
      <c r="E215" s="74"/>
      <c r="F215" s="65"/>
      <c r="G215" s="87"/>
      <c r="H215" s="87"/>
      <c r="I215" s="87"/>
    </row>
    <row r="216" spans="1:9" ht="15" thickBot="1" x14ac:dyDescent="0.45">
      <c r="A216" s="65" t="s">
        <v>4</v>
      </c>
      <c r="B216" s="75">
        <v>6.2119999999999997</v>
      </c>
      <c r="C216" s="76">
        <v>113.4</v>
      </c>
      <c r="D216" s="76"/>
      <c r="E216" s="77"/>
      <c r="F216" s="100">
        <f>C216/(C214+C215+C216)</f>
        <v>1.8316618745718657E-2</v>
      </c>
      <c r="G216" s="87"/>
      <c r="H216" s="87"/>
      <c r="I216" s="87"/>
    </row>
    <row r="217" spans="1:9" ht="15" thickBot="1" x14ac:dyDescent="0.45">
      <c r="A217" s="1" t="s">
        <v>374</v>
      </c>
      <c r="B217" s="78"/>
      <c r="C217" s="78"/>
      <c r="D217" s="78"/>
      <c r="E217" s="78"/>
      <c r="F217" s="79"/>
      <c r="G217" s="87"/>
      <c r="H217" s="87"/>
      <c r="I217" s="87"/>
    </row>
    <row r="218" spans="1:9" x14ac:dyDescent="0.4">
      <c r="A218" t="s">
        <v>0</v>
      </c>
      <c r="B218" s="66" t="s">
        <v>2</v>
      </c>
      <c r="C218" s="67" t="s">
        <v>1</v>
      </c>
      <c r="D218" s="67" t="s">
        <v>113</v>
      </c>
      <c r="E218" s="11" t="s">
        <v>69</v>
      </c>
      <c r="F218" s="65" t="s">
        <v>180</v>
      </c>
      <c r="G218" s="21"/>
      <c r="H218" s="21"/>
      <c r="I218" s="21"/>
    </row>
    <row r="219" spans="1:9" x14ac:dyDescent="0.4">
      <c r="A219" t="s">
        <v>3</v>
      </c>
      <c r="B219" s="18">
        <v>3.1</v>
      </c>
      <c r="C219" s="59">
        <v>6260.98</v>
      </c>
      <c r="D219" s="8">
        <f>C219/C221</f>
        <v>53.059152542372878</v>
      </c>
      <c r="E219" s="74">
        <f>(D220+0.0045)/0.0056</f>
        <v>20.128631961259082</v>
      </c>
      <c r="F219" s="97">
        <f>(C220/(C219+C220))</f>
        <v>2.0354652321179518E-3</v>
      </c>
      <c r="G219" s="106"/>
      <c r="H219" s="106"/>
      <c r="I219" s="21"/>
    </row>
    <row r="220" spans="1:9" x14ac:dyDescent="0.4">
      <c r="A220" t="s">
        <v>5</v>
      </c>
      <c r="B220" s="18">
        <v>4.83</v>
      </c>
      <c r="C220" s="59">
        <v>12.77</v>
      </c>
      <c r="D220" s="32">
        <f>C220/C221</f>
        <v>0.10822033898305085</v>
      </c>
      <c r="E220" s="13"/>
      <c r="F220" s="94"/>
      <c r="G220" s="21"/>
      <c r="H220" s="21"/>
      <c r="I220" s="21"/>
    </row>
    <row r="221" spans="1:9" ht="15" thickBot="1" x14ac:dyDescent="0.45">
      <c r="A221" t="s">
        <v>4</v>
      </c>
      <c r="B221" s="20">
        <v>6.2119999999999997</v>
      </c>
      <c r="C221" s="16">
        <v>118</v>
      </c>
      <c r="D221" s="16"/>
      <c r="E221" s="24"/>
      <c r="F221" s="100">
        <f>C221/(C219+C220+C221)</f>
        <v>1.8461297766652326E-2</v>
      </c>
      <c r="G221" s="21"/>
      <c r="H221" s="21"/>
      <c r="I221" s="21"/>
    </row>
    <row r="222" spans="1:9" ht="15" thickBot="1" x14ac:dyDescent="0.45">
      <c r="A222" s="1" t="s">
        <v>375</v>
      </c>
      <c r="B222" s="1"/>
      <c r="C222" s="1"/>
      <c r="D222" s="1"/>
      <c r="E222" s="1"/>
      <c r="F222" s="1"/>
      <c r="G222" s="60"/>
      <c r="H222" s="60"/>
      <c r="I222" s="60"/>
    </row>
    <row r="223" spans="1:9" x14ac:dyDescent="0.4">
      <c r="A223" s="65" t="s">
        <v>0</v>
      </c>
      <c r="B223" s="66" t="s">
        <v>2</v>
      </c>
      <c r="C223" s="67" t="s">
        <v>1</v>
      </c>
      <c r="D223" s="67" t="s">
        <v>113</v>
      </c>
      <c r="E223" s="11" t="s">
        <v>69</v>
      </c>
      <c r="F223" s="65" t="s">
        <v>180</v>
      </c>
      <c r="G223" s="21"/>
      <c r="H223" s="21"/>
      <c r="I223" s="59"/>
    </row>
    <row r="224" spans="1:9" x14ac:dyDescent="0.4">
      <c r="A224" s="65" t="s">
        <v>3</v>
      </c>
      <c r="B224" s="70">
        <v>3.1</v>
      </c>
      <c r="C224" s="71">
        <v>5994.6</v>
      </c>
      <c r="D224" s="72">
        <f>C224/C226</f>
        <v>53.332740213523131</v>
      </c>
      <c r="E224" s="74">
        <f>(D225+0.0045)/0.0056</f>
        <v>10.113434163701067</v>
      </c>
      <c r="F224" s="97">
        <f>(C225/(C224+C225))</f>
        <v>9.7659179462907843E-4</v>
      </c>
      <c r="G224" s="106"/>
      <c r="H224" s="106"/>
      <c r="I224" s="59"/>
    </row>
    <row r="225" spans="1:9" x14ac:dyDescent="0.4">
      <c r="A225" s="65" t="s">
        <v>5</v>
      </c>
      <c r="B225" s="70">
        <v>4.83</v>
      </c>
      <c r="C225" s="71">
        <v>5.86</v>
      </c>
      <c r="D225" s="31">
        <f>C225/C226</f>
        <v>5.2135231316725976E-2</v>
      </c>
      <c r="E225" s="74"/>
      <c r="F225" s="72"/>
      <c r="G225" s="59"/>
      <c r="H225" s="59"/>
      <c r="I225" s="59"/>
    </row>
    <row r="226" spans="1:9" ht="15" thickBot="1" x14ac:dyDescent="0.45">
      <c r="A226" s="65" t="s">
        <v>4</v>
      </c>
      <c r="B226" s="75">
        <v>6.2119999999999997</v>
      </c>
      <c r="C226" s="76">
        <v>112.4</v>
      </c>
      <c r="D226" s="76"/>
      <c r="E226" s="77"/>
      <c r="F226" s="100">
        <f>C226/(C224+C225+C226)</f>
        <v>1.8387465114529045E-2</v>
      </c>
      <c r="G226" s="59"/>
      <c r="H226" s="59"/>
      <c r="I226" s="59"/>
    </row>
    <row r="227" spans="1:9" ht="15" thickBot="1" x14ac:dyDescent="0.45">
      <c r="A227" s="1" t="s">
        <v>376</v>
      </c>
      <c r="B227" s="78"/>
      <c r="C227" s="78"/>
      <c r="D227" s="78"/>
      <c r="E227" s="78"/>
      <c r="F227" s="78"/>
      <c r="G227" s="87"/>
      <c r="H227" s="87"/>
      <c r="I227" s="87"/>
    </row>
    <row r="228" spans="1:9" x14ac:dyDescent="0.4">
      <c r="A228" s="65" t="s">
        <v>0</v>
      </c>
      <c r="B228" s="66" t="s">
        <v>2</v>
      </c>
      <c r="C228" s="67" t="s">
        <v>1</v>
      </c>
      <c r="D228" s="67" t="s">
        <v>113</v>
      </c>
      <c r="E228" s="11" t="s">
        <v>69</v>
      </c>
      <c r="F228" s="65" t="s">
        <v>180</v>
      </c>
      <c r="G228" s="21"/>
      <c r="H228" s="21"/>
      <c r="I228" s="87"/>
    </row>
    <row r="229" spans="1:9" x14ac:dyDescent="0.4">
      <c r="A229" s="65" t="s">
        <v>3</v>
      </c>
      <c r="B229" s="70">
        <v>3.14</v>
      </c>
      <c r="C229" s="59">
        <v>5026</v>
      </c>
      <c r="D229" s="72">
        <f>C229/C231</f>
        <v>52.245322245322242</v>
      </c>
      <c r="E229" s="74">
        <f>(D230+0.0045)/0.0056</f>
        <v>25.677346302346304</v>
      </c>
      <c r="F229" s="97">
        <f>(C230/(C229+C230))</f>
        <v>2.6590467119101484E-3</v>
      </c>
      <c r="G229" s="106"/>
      <c r="H229" s="106"/>
      <c r="I229" s="87"/>
    </row>
    <row r="230" spans="1:9" x14ac:dyDescent="0.4">
      <c r="A230" s="65" t="s">
        <v>5</v>
      </c>
      <c r="B230" s="70">
        <v>4.83</v>
      </c>
      <c r="C230" s="59">
        <v>13.4</v>
      </c>
      <c r="D230" s="31">
        <f>C230/C231</f>
        <v>0.1392931392931393</v>
      </c>
      <c r="E230" s="74"/>
      <c r="F230" s="65"/>
      <c r="G230" s="87"/>
      <c r="H230" s="87"/>
      <c r="I230" s="87"/>
    </row>
    <row r="231" spans="1:9" ht="15" thickBot="1" x14ac:dyDescent="0.45">
      <c r="A231" s="65" t="s">
        <v>4</v>
      </c>
      <c r="B231" s="75">
        <v>6.2119999999999997</v>
      </c>
      <c r="C231" s="76">
        <v>96.2</v>
      </c>
      <c r="D231" s="76"/>
      <c r="E231" s="77"/>
      <c r="F231" s="100">
        <f>C231/(C229+C230+C231)</f>
        <v>1.8731988472622481E-2</v>
      </c>
      <c r="G231" s="87"/>
      <c r="H231" s="87"/>
      <c r="I231" s="87"/>
    </row>
    <row r="232" spans="1:9" ht="15" thickBot="1" x14ac:dyDescent="0.45">
      <c r="A232" s="1" t="s">
        <v>377</v>
      </c>
      <c r="B232" s="78"/>
      <c r="C232" s="78"/>
      <c r="D232" s="78"/>
      <c r="E232" s="78"/>
      <c r="F232" s="79"/>
      <c r="G232" s="87"/>
      <c r="H232" s="87"/>
      <c r="I232" s="87"/>
    </row>
    <row r="233" spans="1:9" x14ac:dyDescent="0.4">
      <c r="A233" t="s">
        <v>0</v>
      </c>
      <c r="B233" s="66" t="s">
        <v>2</v>
      </c>
      <c r="C233" s="67" t="s">
        <v>1</v>
      </c>
      <c r="D233" s="67" t="s">
        <v>113</v>
      </c>
      <c r="E233" s="11" t="s">
        <v>69</v>
      </c>
      <c r="F233" s="65" t="s">
        <v>180</v>
      </c>
      <c r="G233" s="21"/>
      <c r="H233" s="21"/>
      <c r="I233" s="21"/>
    </row>
    <row r="234" spans="1:9" x14ac:dyDescent="0.4">
      <c r="A234" t="s">
        <v>3</v>
      </c>
      <c r="B234" s="18">
        <v>3.1</v>
      </c>
      <c r="C234" s="59">
        <v>6143.44</v>
      </c>
      <c r="D234" s="8">
        <f>C234/C236</f>
        <v>52.195751911639761</v>
      </c>
      <c r="E234" s="74">
        <f>(D235+0.0045)/0.0056</f>
        <v>15.429132783104748</v>
      </c>
      <c r="F234" s="97">
        <f>(C235/(C234+C235))</f>
        <v>1.5666950535341651E-3</v>
      </c>
      <c r="G234" s="106"/>
      <c r="H234" s="106"/>
      <c r="I234" s="21"/>
    </row>
    <row r="235" spans="1:9" x14ac:dyDescent="0.4">
      <c r="A235" t="s">
        <v>5</v>
      </c>
      <c r="B235" s="18">
        <v>4.83</v>
      </c>
      <c r="C235" s="59">
        <v>9.64</v>
      </c>
      <c r="D235" s="32">
        <f>C235/C236</f>
        <v>8.1903143585386584E-2</v>
      </c>
      <c r="E235" s="13"/>
      <c r="F235" s="94"/>
      <c r="G235" s="21"/>
      <c r="H235" s="21"/>
      <c r="I235" s="21"/>
    </row>
    <row r="236" spans="1:9" ht="15" thickBot="1" x14ac:dyDescent="0.45">
      <c r="A236" t="s">
        <v>4</v>
      </c>
      <c r="B236" s="20">
        <v>6.2119999999999997</v>
      </c>
      <c r="C236" s="16">
        <v>117.7</v>
      </c>
      <c r="D236" s="16"/>
      <c r="E236" s="24"/>
      <c r="F236" s="100">
        <f>C236/(C234+C235+C236)</f>
        <v>1.8769594851039267E-2</v>
      </c>
      <c r="G236" s="21"/>
      <c r="H236" s="21"/>
      <c r="I236" s="21"/>
    </row>
    <row r="237" spans="1:9" ht="15" thickBot="1" x14ac:dyDescent="0.45">
      <c r="A237" s="1" t="s">
        <v>378</v>
      </c>
      <c r="B237" s="1"/>
      <c r="C237" s="1"/>
      <c r="D237" s="1"/>
      <c r="E237" s="1"/>
      <c r="F237" s="1"/>
      <c r="G237" s="60"/>
      <c r="H237" s="60"/>
      <c r="I237" s="60"/>
    </row>
    <row r="238" spans="1:9" x14ac:dyDescent="0.4">
      <c r="A238" s="65" t="s">
        <v>0</v>
      </c>
      <c r="B238" s="66" t="s">
        <v>2</v>
      </c>
      <c r="C238" s="67" t="s">
        <v>1</v>
      </c>
      <c r="D238" s="67" t="s">
        <v>113</v>
      </c>
      <c r="E238" s="11" t="s">
        <v>69</v>
      </c>
      <c r="F238" s="65" t="s">
        <v>180</v>
      </c>
      <c r="G238" s="21"/>
      <c r="H238" s="21"/>
      <c r="I238" s="59"/>
    </row>
    <row r="239" spans="1:9" x14ac:dyDescent="0.4">
      <c r="A239" s="65" t="s">
        <v>3</v>
      </c>
      <c r="B239" s="70">
        <v>3.1</v>
      </c>
      <c r="C239" s="71">
        <v>6052.8</v>
      </c>
      <c r="D239" s="72">
        <f>C239/C241</f>
        <v>53.001751313485116</v>
      </c>
      <c r="E239" s="74">
        <f>(D240+0.0045)/0.0056</f>
        <v>12.562390542907181</v>
      </c>
      <c r="F239" s="97">
        <f>(C240/(C239+C240))</f>
        <v>1.2408585685244342E-3</v>
      </c>
      <c r="G239" s="106"/>
      <c r="H239" s="106"/>
      <c r="I239" s="59"/>
    </row>
    <row r="240" spans="1:9" x14ac:dyDescent="0.4">
      <c r="A240" s="65" t="s">
        <v>5</v>
      </c>
      <c r="B240" s="70">
        <v>4.83</v>
      </c>
      <c r="C240" s="71">
        <v>7.52</v>
      </c>
      <c r="D240" s="31">
        <f>C240/C241</f>
        <v>6.5849387040280205E-2</v>
      </c>
      <c r="E240" s="74"/>
      <c r="F240" s="72"/>
      <c r="G240" s="59"/>
      <c r="H240" s="59"/>
      <c r="I240" s="59"/>
    </row>
    <row r="241" spans="1:9" ht="15" thickBot="1" x14ac:dyDescent="0.45">
      <c r="A241" s="65" t="s">
        <v>4</v>
      </c>
      <c r="B241" s="75">
        <v>6.2119999999999997</v>
      </c>
      <c r="C241" s="76">
        <v>114.2</v>
      </c>
      <c r="D241" s="76"/>
      <c r="E241" s="77"/>
      <c r="F241" s="100">
        <f>C241/(C239+C240+C241)</f>
        <v>1.849536482188089E-2</v>
      </c>
      <c r="G241" s="59"/>
      <c r="H241" s="59"/>
      <c r="I241" s="59"/>
    </row>
    <row r="242" spans="1:9" ht="15" thickBot="1" x14ac:dyDescent="0.45">
      <c r="A242" s="1" t="s">
        <v>379</v>
      </c>
      <c r="B242" s="78"/>
      <c r="C242" s="78"/>
      <c r="D242" s="78"/>
      <c r="E242" s="78"/>
      <c r="F242" s="78"/>
      <c r="G242" s="87"/>
      <c r="H242" s="87"/>
      <c r="I242" s="87"/>
    </row>
    <row r="243" spans="1:9" x14ac:dyDescent="0.4">
      <c r="A243" s="65" t="s">
        <v>0</v>
      </c>
      <c r="B243" s="66" t="s">
        <v>2</v>
      </c>
      <c r="C243" s="67" t="s">
        <v>1</v>
      </c>
      <c r="D243" s="67" t="s">
        <v>113</v>
      </c>
      <c r="E243" s="11" t="s">
        <v>69</v>
      </c>
      <c r="F243" s="65" t="s">
        <v>180</v>
      </c>
      <c r="G243" s="21"/>
      <c r="H243" s="21"/>
      <c r="I243" s="87"/>
    </row>
    <row r="244" spans="1:9" x14ac:dyDescent="0.4">
      <c r="A244" s="65" t="s">
        <v>3</v>
      </c>
      <c r="B244" s="70">
        <v>3.14</v>
      </c>
      <c r="C244" s="59">
        <v>6257.8</v>
      </c>
      <c r="D244" s="72">
        <f>C244/C246</f>
        <v>52.366527196652719</v>
      </c>
      <c r="E244" s="74">
        <f>(D245+0.0045)/0.0056</f>
        <v>4.9129557680812912</v>
      </c>
      <c r="F244" s="97">
        <f>(C245/(C244+C245))</f>
        <v>4.3925853159866145E-4</v>
      </c>
      <c r="G244" s="106"/>
      <c r="H244" s="106"/>
      <c r="I244" s="87"/>
    </row>
    <row r="245" spans="1:9" x14ac:dyDescent="0.4">
      <c r="A245" s="65" t="s">
        <v>5</v>
      </c>
      <c r="B245" s="70">
        <v>4.83</v>
      </c>
      <c r="C245" s="59">
        <v>2.75</v>
      </c>
      <c r="D245" s="31">
        <f>C245/C246</f>
        <v>2.3012552301255231E-2</v>
      </c>
      <c r="E245" s="74"/>
      <c r="F245" s="65"/>
      <c r="G245" s="87"/>
      <c r="H245" s="87"/>
      <c r="I245" s="87"/>
    </row>
    <row r="246" spans="1:9" ht="15" thickBot="1" x14ac:dyDescent="0.45">
      <c r="A246" s="65" t="s">
        <v>4</v>
      </c>
      <c r="B246" s="75">
        <v>6.2119999999999997</v>
      </c>
      <c r="C246" s="76">
        <v>119.5</v>
      </c>
      <c r="D246" s="76"/>
      <c r="E246" s="77"/>
      <c r="F246" s="100">
        <f>C246/(C244+C245+C246)</f>
        <v>1.8730260734633741E-2</v>
      </c>
      <c r="G246" s="87"/>
      <c r="H246" s="87"/>
      <c r="I246" s="87"/>
    </row>
  </sheetData>
  <mergeCells count="36">
    <mergeCell ref="N4:N7"/>
    <mergeCell ref="Q4:Q7"/>
    <mergeCell ref="R4:R7"/>
    <mergeCell ref="M10:M13"/>
    <mergeCell ref="N10:N13"/>
    <mergeCell ref="Q10:Q13"/>
    <mergeCell ref="R10:R13"/>
    <mergeCell ref="N16:N19"/>
    <mergeCell ref="Q16:Q19"/>
    <mergeCell ref="R16:R19"/>
    <mergeCell ref="M22:M25"/>
    <mergeCell ref="N22:N25"/>
    <mergeCell ref="Q22:Q25"/>
    <mergeCell ref="R22:R25"/>
    <mergeCell ref="N28:N31"/>
    <mergeCell ref="Q28:Q31"/>
    <mergeCell ref="R28:R31"/>
    <mergeCell ref="M34:M37"/>
    <mergeCell ref="N34:N37"/>
    <mergeCell ref="Q34:Q37"/>
    <mergeCell ref="R34:R37"/>
    <mergeCell ref="N40:N43"/>
    <mergeCell ref="Q40:Q43"/>
    <mergeCell ref="R40:R43"/>
    <mergeCell ref="M46:M49"/>
    <mergeCell ref="N46:N49"/>
    <mergeCell ref="Q46:Q49"/>
    <mergeCell ref="R46:R49"/>
    <mergeCell ref="K6:K9"/>
    <mergeCell ref="K10:K13"/>
    <mergeCell ref="K14:K17"/>
    <mergeCell ref="K18:K21"/>
    <mergeCell ref="M40:M43"/>
    <mergeCell ref="M28:M31"/>
    <mergeCell ref="M16:M19"/>
    <mergeCell ref="M4:M7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C50B6-D18A-4AB0-97E1-8E53A5051D10}">
  <dimension ref="A1:W134"/>
  <sheetViews>
    <sheetView topLeftCell="P1" zoomScale="76" workbookViewId="0">
      <selection activeCell="E11" sqref="E11"/>
    </sheetView>
  </sheetViews>
  <sheetFormatPr defaultRowHeight="14.6" x14ac:dyDescent="0.4"/>
  <cols>
    <col min="4" max="4" width="20" customWidth="1"/>
    <col min="5" max="5" width="18.69140625" customWidth="1"/>
    <col min="6" max="6" width="18.84375" customWidth="1"/>
  </cols>
  <sheetData>
    <row r="1" spans="1:20" s="4" customFormat="1" x14ac:dyDescent="0.4">
      <c r="A1" s="4" t="s">
        <v>49</v>
      </c>
    </row>
    <row r="2" spans="1:20" s="1" customFormat="1" ht="15" thickBot="1" x14ac:dyDescent="0.45">
      <c r="A2" s="1" t="s">
        <v>79</v>
      </c>
    </row>
    <row r="3" spans="1:20" x14ac:dyDescent="0.4">
      <c r="A3" t="s">
        <v>0</v>
      </c>
      <c r="B3" s="9" t="s">
        <v>2</v>
      </c>
      <c r="C3" s="10" t="s">
        <v>1</v>
      </c>
      <c r="D3" s="10" t="s">
        <v>178</v>
      </c>
      <c r="E3" s="10" t="s">
        <v>179</v>
      </c>
      <c r="F3" s="10" t="s">
        <v>45</v>
      </c>
      <c r="G3" s="11" t="s">
        <v>47</v>
      </c>
      <c r="H3" s="25" t="s">
        <v>70</v>
      </c>
      <c r="I3" s="26" t="s">
        <v>69</v>
      </c>
    </row>
    <row r="4" spans="1:20" x14ac:dyDescent="0.4">
      <c r="A4" t="s">
        <v>3</v>
      </c>
      <c r="B4" s="18">
        <v>3.1</v>
      </c>
      <c r="C4" s="6">
        <v>2726.2</v>
      </c>
      <c r="D4" s="8">
        <f>C4/C6</f>
        <v>88.801302931596084</v>
      </c>
      <c r="E4" s="95"/>
      <c r="F4" s="99" t="e">
        <f>AVERAGE(E4,E9)</f>
        <v>#DIV/0!</v>
      </c>
      <c r="G4" s="13" t="e">
        <f>STDEV(E4,E9)</f>
        <v>#DIV/0!</v>
      </c>
      <c r="H4" s="14" t="e">
        <f>((F4*1000)/1.1)</f>
        <v>#DIV/0!</v>
      </c>
      <c r="I4" s="13" t="e">
        <f>(H4/120.15)*1000</f>
        <v>#DIV/0!</v>
      </c>
    </row>
    <row r="5" spans="1:20" x14ac:dyDescent="0.4">
      <c r="A5" t="s">
        <v>5</v>
      </c>
      <c r="B5" s="18">
        <v>4.83</v>
      </c>
      <c r="C5" s="6">
        <v>70.099999999999994</v>
      </c>
      <c r="D5" s="8">
        <f>C5/C6</f>
        <v>2.2833876221498368</v>
      </c>
      <c r="E5" s="96">
        <f>C5/C4</f>
        <v>2.5713447289267111E-2</v>
      </c>
      <c r="F5" s="8"/>
      <c r="G5" s="13"/>
      <c r="H5" s="14"/>
      <c r="I5" s="13"/>
      <c r="O5" s="38" t="s">
        <v>52</v>
      </c>
      <c r="P5" s="38" t="s">
        <v>106</v>
      </c>
      <c r="Q5" s="38" t="s">
        <v>107</v>
      </c>
      <c r="R5" s="38" t="s">
        <v>108</v>
      </c>
      <c r="S5" s="38" t="s">
        <v>47</v>
      </c>
      <c r="T5" s="38"/>
    </row>
    <row r="6" spans="1:20" ht="15" thickBot="1" x14ac:dyDescent="0.45">
      <c r="A6" t="s">
        <v>4</v>
      </c>
      <c r="B6" s="20">
        <v>6.2119999999999997</v>
      </c>
      <c r="C6" s="16">
        <v>30.7</v>
      </c>
      <c r="D6" s="16"/>
      <c r="E6" s="24"/>
      <c r="F6" s="16"/>
      <c r="G6" s="17"/>
      <c r="H6" s="27"/>
      <c r="I6" s="17"/>
      <c r="O6" s="38">
        <v>500</v>
      </c>
      <c r="P6" s="61">
        <f>D5</f>
        <v>2.2833876221498368</v>
      </c>
      <c r="Q6" s="61">
        <f>D10</f>
        <v>1.3499999999999999</v>
      </c>
      <c r="R6" s="61">
        <f>AVERAGE(P6:Q6)</f>
        <v>1.8166938110749182</v>
      </c>
      <c r="S6" s="39">
        <f>STDEV(P6:Q6)</f>
        <v>0.66000471709773767</v>
      </c>
      <c r="T6" s="38"/>
    </row>
    <row r="7" spans="1:20" s="1" customFormat="1" ht="15" thickBot="1" x14ac:dyDescent="0.45">
      <c r="A7" s="1" t="s">
        <v>80</v>
      </c>
      <c r="O7" s="38">
        <f>O6/2</f>
        <v>250</v>
      </c>
      <c r="P7" s="61">
        <f>D16</f>
        <v>1.4816176470588234</v>
      </c>
      <c r="Q7" s="61">
        <f>D21</f>
        <v>1.3</v>
      </c>
      <c r="R7" s="61">
        <f t="shared" ref="R7:R15" si="0">AVERAGE(P7:Q7)</f>
        <v>1.3908088235294116</v>
      </c>
      <c r="S7" s="39">
        <f t="shared" ref="S7:S15" si="1">STDEV(P7:Q7)</f>
        <v>0.12842306981843901</v>
      </c>
      <c r="T7" s="38"/>
    </row>
    <row r="8" spans="1:20" x14ac:dyDescent="0.4">
      <c r="A8" t="s">
        <v>0</v>
      </c>
      <c r="B8" s="9" t="s">
        <v>2</v>
      </c>
      <c r="C8" s="10" t="s">
        <v>1</v>
      </c>
      <c r="D8" s="10" t="s">
        <v>44</v>
      </c>
      <c r="E8" s="11"/>
      <c r="O8" s="38">
        <f t="shared" ref="O8:O15" si="2">O7/2</f>
        <v>125</v>
      </c>
      <c r="P8" s="39">
        <f>D27</f>
        <v>0.70609318996415771</v>
      </c>
      <c r="Q8" s="39">
        <f>D32</f>
        <v>0.65248226950354604</v>
      </c>
      <c r="R8" s="61">
        <f t="shared" si="0"/>
        <v>0.67928772973385187</v>
      </c>
      <c r="S8" s="39">
        <f t="shared" si="1"/>
        <v>3.7908645403351142E-2</v>
      </c>
      <c r="T8" s="38"/>
    </row>
    <row r="9" spans="1:20" x14ac:dyDescent="0.4">
      <c r="A9" t="s">
        <v>3</v>
      </c>
      <c r="B9" s="18">
        <v>3.14</v>
      </c>
      <c r="C9" s="21">
        <v>2799</v>
      </c>
      <c r="D9" s="8">
        <f>C9/C11</f>
        <v>49.982142857142854</v>
      </c>
      <c r="E9" s="23"/>
      <c r="F9" s="7">
        <f>C11/(C9+C10+C11)</f>
        <v>1.9108714938920357E-2</v>
      </c>
      <c r="O9" s="38">
        <f t="shared" si="2"/>
        <v>62.5</v>
      </c>
      <c r="P9" s="39">
        <f>D38</f>
        <v>0.34609929078014184</v>
      </c>
      <c r="Q9" s="39">
        <f>D43</f>
        <v>0.32397003745318353</v>
      </c>
      <c r="R9" s="61">
        <f t="shared" si="0"/>
        <v>0.33503466411666272</v>
      </c>
      <c r="S9" s="39">
        <f t="shared" si="1"/>
        <v>1.5647745090087189E-2</v>
      </c>
      <c r="T9" s="38"/>
    </row>
    <row r="10" spans="1:20" x14ac:dyDescent="0.4">
      <c r="A10" t="s">
        <v>5</v>
      </c>
      <c r="B10" s="18">
        <v>4.83</v>
      </c>
      <c r="C10" s="21">
        <v>75.599999999999994</v>
      </c>
      <c r="D10" s="8">
        <f>C10/C11</f>
        <v>1.3499999999999999</v>
      </c>
      <c r="E10" s="96">
        <f>C10/C9</f>
        <v>2.7009646302250803E-2</v>
      </c>
      <c r="O10" s="38">
        <f t="shared" si="2"/>
        <v>31.25</v>
      </c>
      <c r="P10" s="39">
        <f>D49</f>
        <v>0.17553956834532372</v>
      </c>
      <c r="Q10" s="39">
        <f>D54</f>
        <v>0.15849056603773587</v>
      </c>
      <c r="R10" s="61">
        <f t="shared" si="0"/>
        <v>0.16701506719152981</v>
      </c>
      <c r="S10" s="39">
        <f t="shared" si="1"/>
        <v>1.2055465144160466E-2</v>
      </c>
      <c r="T10" s="38"/>
    </row>
    <row r="11" spans="1:20" ht="15" thickBot="1" x14ac:dyDescent="0.45">
      <c r="A11" t="s">
        <v>4</v>
      </c>
      <c r="B11" s="20">
        <v>6.2119999999999997</v>
      </c>
      <c r="C11" s="16">
        <f>28*2</f>
        <v>56</v>
      </c>
      <c r="D11" s="16"/>
      <c r="E11" s="24"/>
      <c r="O11" s="38">
        <f t="shared" si="2"/>
        <v>15.625</v>
      </c>
      <c r="P11" s="62">
        <f>D60</f>
        <v>8.5714285714285701E-2</v>
      </c>
      <c r="Q11" s="62">
        <f>D65</f>
        <v>7.8928571428571431E-2</v>
      </c>
      <c r="R11" s="61">
        <f t="shared" si="0"/>
        <v>8.2321428571428573E-2</v>
      </c>
      <c r="S11" s="39">
        <f t="shared" si="1"/>
        <v>4.79822458662299E-3</v>
      </c>
      <c r="T11" s="38"/>
    </row>
    <row r="12" spans="1:20" s="4" customFormat="1" x14ac:dyDescent="0.4">
      <c r="A12" s="4" t="s">
        <v>49</v>
      </c>
      <c r="O12" s="38">
        <f t="shared" si="2"/>
        <v>7.8125</v>
      </c>
      <c r="P12" s="62">
        <f>D71</f>
        <v>4.4363636363636362E-2</v>
      </c>
      <c r="Q12" s="62">
        <f>D76</f>
        <v>3.8321167883211681E-2</v>
      </c>
      <c r="R12" s="61">
        <f t="shared" si="0"/>
        <v>4.1342402123424021E-2</v>
      </c>
      <c r="S12" s="39">
        <f t="shared" si="1"/>
        <v>4.2726704376142653E-3</v>
      </c>
      <c r="T12" s="38"/>
    </row>
    <row r="13" spans="1:20" s="1" customFormat="1" ht="15" thickBot="1" x14ac:dyDescent="0.45">
      <c r="A13" s="1" t="s">
        <v>81</v>
      </c>
      <c r="O13" s="38">
        <f t="shared" si="2"/>
        <v>3.90625</v>
      </c>
      <c r="P13" s="62">
        <f>D82</f>
        <v>2.3768115942028985E-2</v>
      </c>
      <c r="Q13" s="62">
        <f>D87</f>
        <v>2.0501792114695341E-2</v>
      </c>
      <c r="R13" s="61">
        <f t="shared" si="0"/>
        <v>2.2134954028362165E-2</v>
      </c>
      <c r="S13" s="39">
        <f t="shared" si="1"/>
        <v>2.3096397278588175E-3</v>
      </c>
      <c r="T13" s="38"/>
    </row>
    <row r="14" spans="1:20" x14ac:dyDescent="0.4">
      <c r="A14" t="s">
        <v>0</v>
      </c>
      <c r="B14" s="9" t="s">
        <v>2</v>
      </c>
      <c r="C14" s="10" t="s">
        <v>1</v>
      </c>
      <c r="D14" s="10" t="s">
        <v>44</v>
      </c>
      <c r="E14" s="11"/>
      <c r="F14" s="10" t="s">
        <v>45</v>
      </c>
      <c r="G14" s="11" t="s">
        <v>47</v>
      </c>
      <c r="H14" s="25" t="s">
        <v>70</v>
      </c>
      <c r="I14" s="26" t="s">
        <v>69</v>
      </c>
      <c r="O14" s="38">
        <f t="shared" si="2"/>
        <v>1.953125</v>
      </c>
      <c r="P14" s="62">
        <f>D93</f>
        <v>1.2197802197802199E-2</v>
      </c>
      <c r="Q14" s="62">
        <f>D98</f>
        <v>1.1459074733096085E-2</v>
      </c>
      <c r="R14" s="61">
        <f t="shared" si="0"/>
        <v>1.1828438465449141E-2</v>
      </c>
      <c r="S14" s="39">
        <f t="shared" si="1"/>
        <v>5.2235919974243886E-4</v>
      </c>
      <c r="T14" s="38"/>
    </row>
    <row r="15" spans="1:20" x14ac:dyDescent="0.4">
      <c r="A15" t="s">
        <v>3</v>
      </c>
      <c r="B15" s="18">
        <v>3.1</v>
      </c>
      <c r="C15" s="6">
        <v>2762.5</v>
      </c>
      <c r="D15" s="8">
        <f>C15/C17</f>
        <v>101.5625</v>
      </c>
      <c r="E15" s="23"/>
      <c r="F15" s="7" t="e">
        <f>AVERAGE(E15,E20)</f>
        <v>#DIV/0!</v>
      </c>
      <c r="G15" s="13" t="e">
        <f>STDEV(E15,E20)</f>
        <v>#DIV/0!</v>
      </c>
      <c r="H15" s="14" t="e">
        <f>((F15*1000)/1.1)</f>
        <v>#DIV/0!</v>
      </c>
      <c r="I15" s="13" t="e">
        <f>(H15/120.15)*1000</f>
        <v>#DIV/0!</v>
      </c>
      <c r="O15" s="38">
        <f t="shared" si="2"/>
        <v>0.9765625</v>
      </c>
      <c r="P15" s="38">
        <f>0</f>
        <v>0</v>
      </c>
      <c r="Q15" s="38">
        <v>0</v>
      </c>
      <c r="R15" s="61">
        <f t="shared" si="0"/>
        <v>0</v>
      </c>
      <c r="S15" s="39">
        <f t="shared" si="1"/>
        <v>0</v>
      </c>
      <c r="T15" s="38"/>
    </row>
    <row r="16" spans="1:20" x14ac:dyDescent="0.4">
      <c r="A16" t="s">
        <v>5</v>
      </c>
      <c r="B16" s="18">
        <v>4.83</v>
      </c>
      <c r="C16" s="6">
        <v>40.299999999999997</v>
      </c>
      <c r="D16" s="8">
        <f>C16/C17</f>
        <v>1.4816176470588234</v>
      </c>
      <c r="E16" s="96">
        <f>C16/C15</f>
        <v>1.4588235294117647E-2</v>
      </c>
      <c r="F16" s="8"/>
      <c r="G16" s="13"/>
      <c r="H16" s="14"/>
      <c r="I16" s="13"/>
      <c r="O16" s="60"/>
      <c r="P16" s="60"/>
      <c r="Q16" s="60"/>
      <c r="R16" s="60"/>
      <c r="S16" s="60"/>
      <c r="T16" s="60"/>
    </row>
    <row r="17" spans="1:23" ht="15" thickBot="1" x14ac:dyDescent="0.45">
      <c r="A17" t="s">
        <v>4</v>
      </c>
      <c r="B17" s="20">
        <v>6.2119999999999997</v>
      </c>
      <c r="C17" s="16">
        <v>27.2</v>
      </c>
      <c r="D17" s="16"/>
      <c r="E17" s="24"/>
      <c r="F17" s="16"/>
      <c r="G17" s="17"/>
      <c r="H17" s="27"/>
      <c r="I17" s="17"/>
      <c r="O17" s="60"/>
      <c r="P17" s="60"/>
      <c r="Q17" s="60"/>
      <c r="R17" s="60"/>
      <c r="S17" s="60"/>
      <c r="T17" s="60"/>
    </row>
    <row r="18" spans="1:23" s="1" customFormat="1" ht="15" thickBot="1" x14ac:dyDescent="0.45">
      <c r="A18" s="1" t="s">
        <v>82</v>
      </c>
      <c r="O18" s="60"/>
      <c r="P18" s="60"/>
      <c r="Q18" s="60"/>
      <c r="R18" s="60"/>
      <c r="S18" s="60"/>
      <c r="T18" s="60"/>
    </row>
    <row r="19" spans="1:23" x14ac:dyDescent="0.4">
      <c r="A19" t="s">
        <v>0</v>
      </c>
      <c r="B19" s="9" t="s">
        <v>2</v>
      </c>
      <c r="C19" s="10" t="s">
        <v>1</v>
      </c>
      <c r="D19" s="10" t="s">
        <v>44</v>
      </c>
      <c r="E19" s="11"/>
      <c r="O19" s="60"/>
      <c r="P19" s="60"/>
      <c r="Q19" s="60"/>
      <c r="R19" s="60"/>
      <c r="S19" s="60"/>
      <c r="T19" s="60"/>
    </row>
    <row r="20" spans="1:23" x14ac:dyDescent="0.4">
      <c r="A20" t="s">
        <v>3</v>
      </c>
      <c r="B20" s="18">
        <v>3.14</v>
      </c>
      <c r="C20" s="21">
        <v>2810.3</v>
      </c>
      <c r="D20" s="8">
        <f>C20/C22</f>
        <v>100.36785714285715</v>
      </c>
      <c r="E20" s="23"/>
      <c r="F20" s="7">
        <f>C22/(C20+C21+C22)</f>
        <v>9.7401467979267384E-3</v>
      </c>
      <c r="O20" s="60"/>
      <c r="P20" s="60"/>
      <c r="Q20" s="60"/>
      <c r="R20" s="60"/>
      <c r="S20" s="60"/>
      <c r="T20" s="60"/>
    </row>
    <row r="21" spans="1:23" x14ac:dyDescent="0.4">
      <c r="A21" t="s">
        <v>5</v>
      </c>
      <c r="B21" s="18">
        <v>4.83</v>
      </c>
      <c r="C21" s="21">
        <v>36.4</v>
      </c>
      <c r="D21" s="8">
        <f>C21/C22</f>
        <v>1.3</v>
      </c>
      <c r="E21" s="96">
        <f>C21/C20</f>
        <v>1.2952353841226914E-2</v>
      </c>
      <c r="F21" s="7"/>
      <c r="O21" s="60"/>
      <c r="P21" s="60"/>
      <c r="Q21" s="60"/>
      <c r="R21" s="60"/>
      <c r="S21" s="60"/>
      <c r="T21" s="60"/>
    </row>
    <row r="22" spans="1:23" ht="15" thickBot="1" x14ac:dyDescent="0.45">
      <c r="A22" t="s">
        <v>4</v>
      </c>
      <c r="B22" s="20">
        <v>6.2119999999999997</v>
      </c>
      <c r="C22" s="16">
        <v>28</v>
      </c>
      <c r="D22" s="16"/>
      <c r="E22" s="24"/>
      <c r="O22" s="60"/>
      <c r="P22" s="60"/>
      <c r="Q22" s="60"/>
      <c r="R22" s="60"/>
      <c r="S22" s="60"/>
      <c r="T22" s="60"/>
    </row>
    <row r="23" spans="1:23" s="4" customFormat="1" x14ac:dyDescent="0.4">
      <c r="A23" s="4" t="s">
        <v>49</v>
      </c>
      <c r="O23" s="60"/>
      <c r="P23" s="60"/>
      <c r="Q23" s="60"/>
      <c r="R23" s="60"/>
      <c r="S23" s="60"/>
      <c r="T23" s="60"/>
    </row>
    <row r="24" spans="1:23" s="1" customFormat="1" ht="15" thickBot="1" x14ac:dyDescent="0.45">
      <c r="A24" s="1" t="s">
        <v>83</v>
      </c>
      <c r="O24" s="60"/>
      <c r="P24" s="60"/>
      <c r="Q24" s="60"/>
      <c r="R24" s="60"/>
      <c r="S24" s="60"/>
      <c r="T24" s="60"/>
    </row>
    <row r="25" spans="1:23" x14ac:dyDescent="0.4">
      <c r="A25" t="s">
        <v>0</v>
      </c>
      <c r="B25" s="9" t="s">
        <v>2</v>
      </c>
      <c r="C25" s="10" t="s">
        <v>1</v>
      </c>
      <c r="D25" s="10" t="s">
        <v>44</v>
      </c>
      <c r="E25" s="11"/>
      <c r="F25" s="10" t="s">
        <v>45</v>
      </c>
      <c r="G25" s="11" t="s">
        <v>47</v>
      </c>
      <c r="H25" s="25" t="s">
        <v>70</v>
      </c>
      <c r="I25" s="26" t="s">
        <v>69</v>
      </c>
      <c r="O25" s="60"/>
      <c r="P25" s="60"/>
      <c r="Q25" s="60"/>
      <c r="R25" s="60"/>
      <c r="S25" s="60"/>
      <c r="T25" s="60"/>
    </row>
    <row r="26" spans="1:23" x14ac:dyDescent="0.4">
      <c r="A26" t="s">
        <v>3</v>
      </c>
      <c r="B26" s="18">
        <v>3.1</v>
      </c>
      <c r="C26" s="6">
        <v>2829.1</v>
      </c>
      <c r="D26" s="8">
        <f>C26/C28</f>
        <v>101.40143369175627</v>
      </c>
      <c r="E26" s="23"/>
      <c r="F26" s="7" t="e">
        <f>AVERAGE(E26,E31)</f>
        <v>#DIV/0!</v>
      </c>
      <c r="G26" s="13" t="e">
        <f>STDEV(E26,E31)</f>
        <v>#DIV/0!</v>
      </c>
      <c r="H26" s="14" t="e">
        <f>((F26*1000)/1.1)</f>
        <v>#DIV/0!</v>
      </c>
      <c r="I26" s="13" t="e">
        <f>(H26/120.15)*1000</f>
        <v>#DIV/0!</v>
      </c>
      <c r="O26" s="60"/>
      <c r="P26" s="60"/>
      <c r="Q26" s="60"/>
      <c r="R26" s="60"/>
      <c r="S26" s="60"/>
      <c r="T26" s="60"/>
    </row>
    <row r="27" spans="1:23" x14ac:dyDescent="0.4">
      <c r="A27" t="s">
        <v>5</v>
      </c>
      <c r="B27" s="18">
        <v>4.83</v>
      </c>
      <c r="C27" s="6">
        <v>19.7</v>
      </c>
      <c r="D27" s="8">
        <f>C27/C28</f>
        <v>0.70609318996415771</v>
      </c>
      <c r="E27" s="96">
        <f>C27/C26</f>
        <v>6.9633452334664737E-3</v>
      </c>
      <c r="F27" s="8"/>
      <c r="G27" s="13"/>
      <c r="H27" s="14"/>
      <c r="I27" s="13"/>
      <c r="O27" s="60"/>
      <c r="P27" s="60"/>
      <c r="Q27" s="60"/>
      <c r="R27" s="60"/>
      <c r="S27" s="60"/>
      <c r="T27" s="60"/>
    </row>
    <row r="28" spans="1:23" ht="15" thickBot="1" x14ac:dyDescent="0.45">
      <c r="A28" t="s">
        <v>4</v>
      </c>
      <c r="B28" s="20">
        <v>6.2119999999999997</v>
      </c>
      <c r="C28" s="16">
        <v>27.9</v>
      </c>
      <c r="D28" s="16"/>
      <c r="E28" s="24"/>
      <c r="F28" s="16"/>
      <c r="G28" s="17"/>
      <c r="H28" s="27"/>
      <c r="I28" s="17"/>
      <c r="O28" s="60"/>
      <c r="P28" s="60"/>
      <c r="Q28" s="60"/>
      <c r="R28" s="60"/>
      <c r="S28" s="60"/>
      <c r="T28" s="60"/>
    </row>
    <row r="29" spans="1:23" s="1" customFormat="1" ht="15" thickBot="1" x14ac:dyDescent="0.45">
      <c r="A29" s="1" t="s">
        <v>84</v>
      </c>
      <c r="O29" s="60"/>
      <c r="P29" s="60"/>
      <c r="Q29" s="60"/>
      <c r="R29" s="60"/>
      <c r="S29" s="60"/>
      <c r="T29" s="60"/>
    </row>
    <row r="30" spans="1:23" x14ac:dyDescent="0.4">
      <c r="A30" t="s">
        <v>0</v>
      </c>
      <c r="B30" s="9" t="s">
        <v>2</v>
      </c>
      <c r="C30" s="10" t="s">
        <v>1</v>
      </c>
      <c r="D30" s="10" t="s">
        <v>44</v>
      </c>
      <c r="E30" s="11"/>
    </row>
    <row r="31" spans="1:23" x14ac:dyDescent="0.4">
      <c r="A31" t="s">
        <v>3</v>
      </c>
      <c r="B31" s="18">
        <v>3.14</v>
      </c>
      <c r="C31" s="21">
        <v>2871.2</v>
      </c>
      <c r="D31" s="8">
        <f>C31/C33</f>
        <v>101.81560283687944</v>
      </c>
      <c r="E31" s="23"/>
      <c r="F31" s="7">
        <f>C33/(C31+C32+C33)</f>
        <v>9.6648159572280488E-3</v>
      </c>
      <c r="W31" t="e">
        <f>(y-0.0135)/0.0051</f>
        <v>#NAME?</v>
      </c>
    </row>
    <row r="32" spans="1:23" x14ac:dyDescent="0.4">
      <c r="A32" t="s">
        <v>5</v>
      </c>
      <c r="B32" s="18">
        <v>4.83</v>
      </c>
      <c r="C32" s="21">
        <v>18.399999999999999</v>
      </c>
      <c r="D32" s="8">
        <f>C32/C33</f>
        <v>0.65248226950354604</v>
      </c>
      <c r="E32" s="96">
        <f>C32/C31</f>
        <v>6.4084703259960994E-3</v>
      </c>
    </row>
    <row r="33" spans="1:9" ht="15" thickBot="1" x14ac:dyDescent="0.45">
      <c r="A33" t="s">
        <v>4</v>
      </c>
      <c r="B33" s="20">
        <v>6.2119999999999997</v>
      </c>
      <c r="C33" s="16">
        <v>28.2</v>
      </c>
      <c r="D33" s="16"/>
      <c r="E33" s="24"/>
    </row>
    <row r="34" spans="1:9" s="4" customFormat="1" x14ac:dyDescent="0.4">
      <c r="A34" s="4" t="s">
        <v>49</v>
      </c>
    </row>
    <row r="35" spans="1:9" s="1" customFormat="1" ht="15" thickBot="1" x14ac:dyDescent="0.45">
      <c r="A35" s="1" t="s">
        <v>85</v>
      </c>
    </row>
    <row r="36" spans="1:9" x14ac:dyDescent="0.4">
      <c r="A36" t="s">
        <v>0</v>
      </c>
      <c r="B36" s="9" t="s">
        <v>2</v>
      </c>
      <c r="C36" s="10" t="s">
        <v>1</v>
      </c>
      <c r="D36" s="10" t="s">
        <v>44</v>
      </c>
      <c r="E36" s="11"/>
      <c r="F36" s="10" t="s">
        <v>45</v>
      </c>
      <c r="G36" s="11" t="s">
        <v>47</v>
      </c>
      <c r="H36" s="25" t="s">
        <v>70</v>
      </c>
      <c r="I36" s="26" t="s">
        <v>69</v>
      </c>
    </row>
    <row r="37" spans="1:9" x14ac:dyDescent="0.4">
      <c r="A37" t="s">
        <v>3</v>
      </c>
      <c r="B37" s="18">
        <v>3.1</v>
      </c>
      <c r="C37" s="6">
        <v>2885.6</v>
      </c>
      <c r="D37" s="8">
        <f>C37/C39</f>
        <v>102.32624113475177</v>
      </c>
      <c r="E37" s="23"/>
      <c r="F37" s="7" t="e">
        <f>AVERAGE(E37,E42)</f>
        <v>#DIV/0!</v>
      </c>
      <c r="G37" s="13" t="e">
        <f>STDEV(E37,E42)</f>
        <v>#DIV/0!</v>
      </c>
      <c r="H37" s="14" t="e">
        <f>((F37*1000)/1.1)</f>
        <v>#DIV/0!</v>
      </c>
      <c r="I37" s="13" t="e">
        <f>(H37/120.15)*1000</f>
        <v>#DIV/0!</v>
      </c>
    </row>
    <row r="38" spans="1:9" x14ac:dyDescent="0.4">
      <c r="A38" t="s">
        <v>5</v>
      </c>
      <c r="B38" s="18">
        <v>4.83</v>
      </c>
      <c r="C38" s="6">
        <v>9.76</v>
      </c>
      <c r="D38" s="8">
        <f>C38/C39</f>
        <v>0.34609929078014184</v>
      </c>
      <c r="E38" s="13"/>
      <c r="F38" s="8"/>
      <c r="G38" s="13"/>
      <c r="H38" s="14"/>
      <c r="I38" s="13"/>
    </row>
    <row r="39" spans="1:9" ht="15" thickBot="1" x14ac:dyDescent="0.45">
      <c r="A39" t="s">
        <v>4</v>
      </c>
      <c r="B39" s="20">
        <v>6.2119999999999997</v>
      </c>
      <c r="C39" s="16">
        <v>28.2</v>
      </c>
      <c r="D39" s="16"/>
      <c r="E39" s="24"/>
      <c r="F39" s="16"/>
      <c r="G39" s="17"/>
      <c r="H39" s="27"/>
      <c r="I39" s="17"/>
    </row>
    <row r="40" spans="1:9" s="1" customFormat="1" ht="15" thickBot="1" x14ac:dyDescent="0.45">
      <c r="A40" s="1" t="s">
        <v>86</v>
      </c>
    </row>
    <row r="41" spans="1:9" x14ac:dyDescent="0.4">
      <c r="A41" t="s">
        <v>0</v>
      </c>
      <c r="B41" s="9" t="s">
        <v>2</v>
      </c>
      <c r="C41" s="10" t="s">
        <v>1</v>
      </c>
      <c r="D41" s="10" t="s">
        <v>44</v>
      </c>
      <c r="E41" s="11"/>
    </row>
    <row r="42" spans="1:9" x14ac:dyDescent="0.4">
      <c r="A42" t="s">
        <v>3</v>
      </c>
      <c r="B42" s="18">
        <v>3.14</v>
      </c>
      <c r="C42" s="21">
        <v>2753</v>
      </c>
      <c r="D42" s="8">
        <f>C42/C44</f>
        <v>103.10861423220975</v>
      </c>
      <c r="E42" s="23"/>
      <c r="F42" s="7">
        <f>C44/(C42+C43+C44)</f>
        <v>9.5755554360105431E-3</v>
      </c>
    </row>
    <row r="43" spans="1:9" x14ac:dyDescent="0.4">
      <c r="A43" t="s">
        <v>5</v>
      </c>
      <c r="B43" s="18">
        <v>4.83</v>
      </c>
      <c r="C43" s="21">
        <v>8.65</v>
      </c>
      <c r="D43" s="8">
        <f>C43/C44</f>
        <v>0.32397003745318353</v>
      </c>
      <c r="E43" s="13"/>
    </row>
    <row r="44" spans="1:9" ht="15" thickBot="1" x14ac:dyDescent="0.45">
      <c r="A44" t="s">
        <v>4</v>
      </c>
      <c r="B44" s="20">
        <v>6.2119999999999997</v>
      </c>
      <c r="C44" s="16">
        <v>26.7</v>
      </c>
      <c r="D44" s="16"/>
      <c r="E44" s="24"/>
    </row>
    <row r="45" spans="1:9" s="4" customFormat="1" x14ac:dyDescent="0.4">
      <c r="A45" s="4" t="s">
        <v>49</v>
      </c>
    </row>
    <row r="46" spans="1:9" s="1" customFormat="1" ht="15" thickBot="1" x14ac:dyDescent="0.45">
      <c r="A46" s="1" t="s">
        <v>87</v>
      </c>
    </row>
    <row r="47" spans="1:9" x14ac:dyDescent="0.4">
      <c r="A47" t="s">
        <v>0</v>
      </c>
      <c r="B47" s="9" t="s">
        <v>2</v>
      </c>
      <c r="C47" s="10" t="s">
        <v>1</v>
      </c>
      <c r="D47" s="10" t="s">
        <v>44</v>
      </c>
      <c r="E47" s="11"/>
      <c r="F47" s="10" t="s">
        <v>45</v>
      </c>
      <c r="G47" s="11" t="s">
        <v>47</v>
      </c>
      <c r="H47" s="25" t="s">
        <v>70</v>
      </c>
      <c r="I47" s="26" t="s">
        <v>69</v>
      </c>
    </row>
    <row r="48" spans="1:9" x14ac:dyDescent="0.4">
      <c r="A48" t="s">
        <v>3</v>
      </c>
      <c r="B48" s="18">
        <v>3.1</v>
      </c>
      <c r="C48" s="6">
        <v>2833</v>
      </c>
      <c r="D48" s="8">
        <f>C48/C50</f>
        <v>101.90647482014388</v>
      </c>
      <c r="E48" s="23"/>
      <c r="F48" s="7" t="e">
        <f>AVERAGE(E48,E53)</f>
        <v>#DIV/0!</v>
      </c>
      <c r="G48" s="13" t="e">
        <f>STDEV(E48,E53)</f>
        <v>#DIV/0!</v>
      </c>
      <c r="H48" s="14" t="e">
        <f>((F48*1000)/1.1)</f>
        <v>#DIV/0!</v>
      </c>
      <c r="I48" s="13" t="e">
        <f>(H48/120.15)*1000</f>
        <v>#DIV/0!</v>
      </c>
    </row>
    <row r="49" spans="1:9" x14ac:dyDescent="0.4">
      <c r="A49" t="s">
        <v>5</v>
      </c>
      <c r="B49" s="18">
        <v>4.83</v>
      </c>
      <c r="C49" s="6">
        <v>4.88</v>
      </c>
      <c r="D49" s="8">
        <f>C49/C50</f>
        <v>0.17553956834532372</v>
      </c>
      <c r="E49" s="13"/>
      <c r="F49" s="8"/>
      <c r="G49" s="13"/>
      <c r="H49" s="14"/>
      <c r="I49" s="13"/>
    </row>
    <row r="50" spans="1:9" ht="15" thickBot="1" x14ac:dyDescent="0.45">
      <c r="A50" t="s">
        <v>4</v>
      </c>
      <c r="B50" s="20">
        <v>6.2119999999999997</v>
      </c>
      <c r="C50" s="16">
        <v>27.8</v>
      </c>
      <c r="D50" s="16"/>
      <c r="E50" s="24"/>
      <c r="F50" s="16"/>
      <c r="G50" s="17"/>
      <c r="H50" s="27"/>
      <c r="I50" s="17"/>
    </row>
    <row r="51" spans="1:9" s="1" customFormat="1" ht="15" thickBot="1" x14ac:dyDescent="0.45">
      <c r="A51" s="1" t="s">
        <v>88</v>
      </c>
    </row>
    <row r="52" spans="1:9" x14ac:dyDescent="0.4">
      <c r="A52" t="s">
        <v>0</v>
      </c>
      <c r="B52" s="9" t="s">
        <v>2</v>
      </c>
      <c r="C52" s="10" t="s">
        <v>1</v>
      </c>
      <c r="D52" s="10" t="s">
        <v>44</v>
      </c>
      <c r="E52" s="11"/>
    </row>
    <row r="53" spans="1:9" x14ac:dyDescent="0.4">
      <c r="A53" t="s">
        <v>3</v>
      </c>
      <c r="B53" s="18">
        <v>3.14</v>
      </c>
      <c r="C53" s="21">
        <v>2699.2</v>
      </c>
      <c r="D53" s="8">
        <f>C53/C55</f>
        <v>101.85660377358489</v>
      </c>
      <c r="E53" s="23"/>
      <c r="F53" s="7">
        <f>C55/(C53+C54+C55)</f>
        <v>9.7073152862742242E-3</v>
      </c>
    </row>
    <row r="54" spans="1:9" x14ac:dyDescent="0.4">
      <c r="A54" t="s">
        <v>5</v>
      </c>
      <c r="B54" s="18">
        <v>4.83</v>
      </c>
      <c r="C54" s="21">
        <v>4.2</v>
      </c>
      <c r="D54" s="8">
        <f>C54/C55</f>
        <v>0.15849056603773587</v>
      </c>
      <c r="E54" s="13"/>
    </row>
    <row r="55" spans="1:9" ht="15" thickBot="1" x14ac:dyDescent="0.45">
      <c r="A55" t="s">
        <v>4</v>
      </c>
      <c r="B55" s="20">
        <v>6.2119999999999997</v>
      </c>
      <c r="C55" s="16">
        <v>26.5</v>
      </c>
      <c r="D55" s="16"/>
      <c r="E55" s="24"/>
    </row>
    <row r="56" spans="1:9" s="4" customFormat="1" x14ac:dyDescent="0.4">
      <c r="A56" s="4" t="s">
        <v>49</v>
      </c>
    </row>
    <row r="57" spans="1:9" s="1" customFormat="1" ht="15" thickBot="1" x14ac:dyDescent="0.45">
      <c r="A57" s="1" t="s">
        <v>89</v>
      </c>
    </row>
    <row r="58" spans="1:9" x14ac:dyDescent="0.4">
      <c r="A58" t="s">
        <v>0</v>
      </c>
      <c r="B58" s="9" t="s">
        <v>2</v>
      </c>
      <c r="C58" s="10" t="s">
        <v>1</v>
      </c>
      <c r="D58" s="10" t="s">
        <v>44</v>
      </c>
      <c r="E58" s="11"/>
      <c r="F58" s="10" t="s">
        <v>45</v>
      </c>
      <c r="G58" s="11" t="s">
        <v>47</v>
      </c>
      <c r="H58" s="25" t="s">
        <v>70</v>
      </c>
      <c r="I58" s="26" t="s">
        <v>69</v>
      </c>
    </row>
    <row r="59" spans="1:9" x14ac:dyDescent="0.4">
      <c r="A59" t="s">
        <v>3</v>
      </c>
      <c r="B59" s="18">
        <v>3.1</v>
      </c>
      <c r="C59" s="6">
        <v>2794.8</v>
      </c>
      <c r="D59" s="8">
        <f>C59/C61</f>
        <v>102.37362637362638</v>
      </c>
      <c r="E59" s="23"/>
      <c r="F59" s="7" t="e">
        <f>AVERAGE(E59,E64)</f>
        <v>#DIV/0!</v>
      </c>
      <c r="G59" s="13" t="e">
        <f>STDEV(E59,E64)</f>
        <v>#DIV/0!</v>
      </c>
      <c r="H59" s="14" t="e">
        <f>((F59*1000)/1.1)</f>
        <v>#DIV/0!</v>
      </c>
      <c r="I59" s="13" t="e">
        <f>(H59/120.15)*1000</f>
        <v>#DIV/0!</v>
      </c>
    </row>
    <row r="60" spans="1:9" x14ac:dyDescent="0.4">
      <c r="A60" t="s">
        <v>5</v>
      </c>
      <c r="B60" s="18">
        <v>4.83</v>
      </c>
      <c r="C60" s="6">
        <v>2.34</v>
      </c>
      <c r="D60" s="8">
        <f>C60/C61</f>
        <v>8.5714285714285701E-2</v>
      </c>
      <c r="E60" s="13"/>
      <c r="F60" s="8"/>
      <c r="G60" s="13"/>
      <c r="H60" s="14"/>
      <c r="I60" s="13"/>
    </row>
    <row r="61" spans="1:9" ht="15" thickBot="1" x14ac:dyDescent="0.45">
      <c r="A61" t="s">
        <v>4</v>
      </c>
      <c r="B61" s="20">
        <v>6.2119999999999997</v>
      </c>
      <c r="C61" s="16">
        <v>27.3</v>
      </c>
      <c r="D61" s="16"/>
      <c r="E61" s="24"/>
      <c r="F61" s="16"/>
      <c r="G61" s="17"/>
      <c r="H61" s="27"/>
      <c r="I61" s="17"/>
    </row>
    <row r="62" spans="1:9" s="1" customFormat="1" ht="15" thickBot="1" x14ac:dyDescent="0.45">
      <c r="A62" s="1" t="s">
        <v>90</v>
      </c>
    </row>
    <row r="63" spans="1:9" x14ac:dyDescent="0.4">
      <c r="A63" t="s">
        <v>0</v>
      </c>
      <c r="B63" s="9" t="s">
        <v>2</v>
      </c>
      <c r="C63" s="10" t="s">
        <v>1</v>
      </c>
      <c r="D63" s="10" t="s">
        <v>44</v>
      </c>
      <c r="E63" s="11"/>
    </row>
    <row r="64" spans="1:9" x14ac:dyDescent="0.4">
      <c r="A64" t="s">
        <v>3</v>
      </c>
      <c r="B64" s="18">
        <v>3.14</v>
      </c>
      <c r="C64" s="21">
        <v>2864.5</v>
      </c>
      <c r="D64" s="8">
        <f>C64/C66</f>
        <v>102.30357142857143</v>
      </c>
      <c r="E64" s="23"/>
      <c r="F64" s="7">
        <f>C66/(C64+C65+C66)</f>
        <v>9.6728169661209583E-3</v>
      </c>
    </row>
    <row r="65" spans="1:9" x14ac:dyDescent="0.4">
      <c r="A65" t="s">
        <v>5</v>
      </c>
      <c r="B65" s="18">
        <v>4.83</v>
      </c>
      <c r="C65" s="21">
        <v>2.21</v>
      </c>
      <c r="D65" s="8">
        <f>C65/C66</f>
        <v>7.8928571428571431E-2</v>
      </c>
      <c r="E65" s="13"/>
    </row>
    <row r="66" spans="1:9" ht="15" thickBot="1" x14ac:dyDescent="0.45">
      <c r="A66" t="s">
        <v>4</v>
      </c>
      <c r="B66" s="20">
        <v>6.2119999999999997</v>
      </c>
      <c r="C66" s="16">
        <v>28</v>
      </c>
      <c r="D66" s="16"/>
      <c r="E66" s="24"/>
    </row>
    <row r="67" spans="1:9" s="4" customFormat="1" x14ac:dyDescent="0.4">
      <c r="A67" s="4" t="s">
        <v>49</v>
      </c>
      <c r="D67" s="4" t="s">
        <v>104</v>
      </c>
    </row>
    <row r="68" spans="1:9" s="1" customFormat="1" ht="15" thickBot="1" x14ac:dyDescent="0.45">
      <c r="A68" s="1" t="s">
        <v>91</v>
      </c>
    </row>
    <row r="69" spans="1:9" x14ac:dyDescent="0.4">
      <c r="A69" t="s">
        <v>0</v>
      </c>
      <c r="B69" s="9" t="s">
        <v>2</v>
      </c>
      <c r="C69" s="10" t="s">
        <v>1</v>
      </c>
      <c r="D69" s="10" t="s">
        <v>44</v>
      </c>
      <c r="E69" s="11"/>
      <c r="F69" s="10" t="s">
        <v>45</v>
      </c>
      <c r="G69" s="11" t="s">
        <v>47</v>
      </c>
      <c r="H69" s="25" t="s">
        <v>70</v>
      </c>
      <c r="I69" s="26" t="s">
        <v>69</v>
      </c>
    </row>
    <row r="70" spans="1:9" x14ac:dyDescent="0.4">
      <c r="A70" t="s">
        <v>3</v>
      </c>
      <c r="B70" s="18">
        <v>3.1</v>
      </c>
      <c r="C70" s="6">
        <v>2818</v>
      </c>
      <c r="D70" s="8">
        <f>C70/C72</f>
        <v>102.47272727272727</v>
      </c>
      <c r="E70" s="23"/>
      <c r="F70" s="7" t="e">
        <f>AVERAGE(E70,E75)</f>
        <v>#DIV/0!</v>
      </c>
      <c r="G70" s="13" t="e">
        <f>STDEV(E70,E75)</f>
        <v>#DIV/0!</v>
      </c>
      <c r="H70" s="14" t="e">
        <f>((F70*1000)/1.1)</f>
        <v>#DIV/0!</v>
      </c>
      <c r="I70" s="13" t="e">
        <f>(H70/120.15)*1000</f>
        <v>#DIV/0!</v>
      </c>
    </row>
    <row r="71" spans="1:9" x14ac:dyDescent="0.4">
      <c r="A71" t="s">
        <v>5</v>
      </c>
      <c r="B71" s="18">
        <v>4.83</v>
      </c>
      <c r="C71" s="6">
        <v>1.22</v>
      </c>
      <c r="D71" s="8">
        <f>C71/C72</f>
        <v>4.4363636363636362E-2</v>
      </c>
      <c r="E71" s="13"/>
      <c r="F71" s="8"/>
      <c r="G71" s="13"/>
      <c r="H71" s="14"/>
      <c r="I71" s="13"/>
    </row>
    <row r="72" spans="1:9" ht="15" thickBot="1" x14ac:dyDescent="0.45">
      <c r="A72" t="s">
        <v>4</v>
      </c>
      <c r="B72" s="20">
        <v>6.2119999999999997</v>
      </c>
      <c r="C72" s="16">
        <v>27.5</v>
      </c>
      <c r="D72" s="16"/>
      <c r="E72" s="24"/>
      <c r="F72" s="16"/>
      <c r="G72" s="17"/>
      <c r="H72" s="27"/>
      <c r="I72" s="17"/>
    </row>
    <row r="73" spans="1:9" s="1" customFormat="1" ht="15" thickBot="1" x14ac:dyDescent="0.45">
      <c r="A73" s="1" t="s">
        <v>92</v>
      </c>
    </row>
    <row r="74" spans="1:9" x14ac:dyDescent="0.4">
      <c r="A74" t="s">
        <v>0</v>
      </c>
      <c r="B74" s="9" t="s">
        <v>2</v>
      </c>
      <c r="C74" s="10" t="s">
        <v>1</v>
      </c>
      <c r="D74" s="10" t="s">
        <v>44</v>
      </c>
      <c r="E74" s="11"/>
    </row>
    <row r="75" spans="1:9" x14ac:dyDescent="0.4">
      <c r="A75" t="s">
        <v>3</v>
      </c>
      <c r="B75" s="18">
        <v>3.14</v>
      </c>
      <c r="C75" s="21">
        <v>2803.8</v>
      </c>
      <c r="D75" s="8">
        <f>C75/C77</f>
        <v>102.32846715328468</v>
      </c>
      <c r="E75" s="23"/>
      <c r="F75" s="7">
        <f>C77/(C75+C76+C77)</f>
        <v>9.6742872274693248E-3</v>
      </c>
    </row>
    <row r="76" spans="1:9" x14ac:dyDescent="0.4">
      <c r="A76" t="s">
        <v>5</v>
      </c>
      <c r="B76" s="18">
        <v>4.83</v>
      </c>
      <c r="C76" s="21">
        <v>1.05</v>
      </c>
      <c r="D76" s="8">
        <f>C76/C77</f>
        <v>3.8321167883211681E-2</v>
      </c>
      <c r="E76" s="13"/>
    </row>
    <row r="77" spans="1:9" ht="15" thickBot="1" x14ac:dyDescent="0.45">
      <c r="A77" t="s">
        <v>4</v>
      </c>
      <c r="B77" s="20">
        <v>6.2119999999999997</v>
      </c>
      <c r="C77" s="16">
        <v>27.4</v>
      </c>
      <c r="D77" s="16"/>
      <c r="E77" s="24"/>
    </row>
    <row r="78" spans="1:9" s="4" customFormat="1" x14ac:dyDescent="0.4">
      <c r="A78" s="4" t="s">
        <v>49</v>
      </c>
      <c r="D78" s="4" t="s">
        <v>103</v>
      </c>
    </row>
    <row r="79" spans="1:9" s="1" customFormat="1" ht="15" thickBot="1" x14ac:dyDescent="0.45">
      <c r="A79" s="1" t="s">
        <v>93</v>
      </c>
    </row>
    <row r="80" spans="1:9" x14ac:dyDescent="0.4">
      <c r="A80" t="s">
        <v>0</v>
      </c>
      <c r="B80" s="9" t="s">
        <v>2</v>
      </c>
      <c r="C80" s="10" t="s">
        <v>1</v>
      </c>
      <c r="D80" s="10" t="s">
        <v>44</v>
      </c>
      <c r="E80" s="11"/>
      <c r="F80" s="10" t="s">
        <v>45</v>
      </c>
      <c r="G80" s="11" t="s">
        <v>47</v>
      </c>
      <c r="H80" s="25" t="s">
        <v>70</v>
      </c>
      <c r="I80" s="26" t="s">
        <v>69</v>
      </c>
    </row>
    <row r="81" spans="1:9" x14ac:dyDescent="0.4">
      <c r="A81" t="s">
        <v>3</v>
      </c>
      <c r="B81" s="18">
        <v>3.1</v>
      </c>
      <c r="C81" s="6">
        <v>2840.2</v>
      </c>
      <c r="D81" s="8">
        <f>C81/C83</f>
        <v>102.90579710144927</v>
      </c>
      <c r="E81" s="23"/>
      <c r="F81" s="7" t="e">
        <f>AVERAGE(E81,E86)</f>
        <v>#DIV/0!</v>
      </c>
      <c r="G81" s="13" t="e">
        <f>STDEV(E81,E86)</f>
        <v>#DIV/0!</v>
      </c>
      <c r="H81" s="14" t="e">
        <f>((F81*1000)/1.1)</f>
        <v>#DIV/0!</v>
      </c>
      <c r="I81" s="13" t="e">
        <f>(H81/120.15)*1000</f>
        <v>#DIV/0!</v>
      </c>
    </row>
    <row r="82" spans="1:9" x14ac:dyDescent="0.4">
      <c r="A82" t="s">
        <v>5</v>
      </c>
      <c r="B82" s="18">
        <v>4.83</v>
      </c>
      <c r="C82" s="6">
        <v>0.65600000000000003</v>
      </c>
      <c r="D82" s="8">
        <f>C82/C83</f>
        <v>2.3768115942028985E-2</v>
      </c>
      <c r="E82" s="13"/>
      <c r="F82" s="8"/>
      <c r="G82" s="13"/>
      <c r="H82" s="14"/>
      <c r="I82" s="13"/>
    </row>
    <row r="83" spans="1:9" ht="15" thickBot="1" x14ac:dyDescent="0.45">
      <c r="A83" t="s">
        <v>4</v>
      </c>
      <c r="B83" s="20">
        <v>6.2119999999999997</v>
      </c>
      <c r="C83" s="16">
        <v>27.6</v>
      </c>
      <c r="D83" s="16"/>
      <c r="E83" s="24"/>
      <c r="F83" s="16"/>
      <c r="G83" s="17"/>
      <c r="H83" s="27"/>
      <c r="I83" s="17"/>
    </row>
    <row r="84" spans="1:9" s="1" customFormat="1" ht="15" thickBot="1" x14ac:dyDescent="0.45">
      <c r="A84" s="1" t="s">
        <v>94</v>
      </c>
    </row>
    <row r="85" spans="1:9" x14ac:dyDescent="0.4">
      <c r="A85" t="s">
        <v>0</v>
      </c>
      <c r="B85" s="9" t="s">
        <v>2</v>
      </c>
      <c r="C85" s="10" t="s">
        <v>1</v>
      </c>
      <c r="D85" s="10" t="s">
        <v>44</v>
      </c>
      <c r="E85" s="11"/>
    </row>
    <row r="86" spans="1:9" x14ac:dyDescent="0.4">
      <c r="A86" t="s">
        <v>3</v>
      </c>
      <c r="B86" s="18">
        <v>3.14</v>
      </c>
      <c r="C86" s="21">
        <v>2844.9</v>
      </c>
      <c r="D86" s="8">
        <f>C86/C88</f>
        <v>101.96774193548389</v>
      </c>
      <c r="E86" s="23"/>
      <c r="F86" s="7">
        <f>C88/(C86+C87+C88)</f>
        <v>9.7098461320010068E-3</v>
      </c>
    </row>
    <row r="87" spans="1:9" x14ac:dyDescent="0.4">
      <c r="A87" t="s">
        <v>5</v>
      </c>
      <c r="B87" s="18">
        <v>4.83</v>
      </c>
      <c r="C87" s="21">
        <v>0.57199999999999995</v>
      </c>
      <c r="D87" s="8">
        <f>C87/C88</f>
        <v>2.0501792114695341E-2</v>
      </c>
      <c r="E87" s="13"/>
    </row>
    <row r="88" spans="1:9" ht="15" thickBot="1" x14ac:dyDescent="0.45">
      <c r="A88" t="s">
        <v>4</v>
      </c>
      <c r="B88" s="20">
        <v>6.2119999999999997</v>
      </c>
      <c r="C88" s="16">
        <v>27.9</v>
      </c>
      <c r="D88" s="16"/>
      <c r="E88" s="24"/>
    </row>
    <row r="89" spans="1:9" s="4" customFormat="1" x14ac:dyDescent="0.4">
      <c r="A89" s="4" t="s">
        <v>49</v>
      </c>
      <c r="D89" s="4" t="s">
        <v>102</v>
      </c>
    </row>
    <row r="90" spans="1:9" s="1" customFormat="1" ht="15" thickBot="1" x14ac:dyDescent="0.45">
      <c r="A90" s="1" t="s">
        <v>95</v>
      </c>
    </row>
    <row r="91" spans="1:9" x14ac:dyDescent="0.4">
      <c r="A91" t="s">
        <v>0</v>
      </c>
      <c r="B91" s="9" t="s">
        <v>2</v>
      </c>
      <c r="C91" s="10" t="s">
        <v>1</v>
      </c>
      <c r="D91" s="10" t="s">
        <v>44</v>
      </c>
      <c r="E91" s="11"/>
      <c r="F91" s="10" t="s">
        <v>45</v>
      </c>
      <c r="G91" s="11" t="s">
        <v>47</v>
      </c>
      <c r="H91" s="25" t="s">
        <v>70</v>
      </c>
      <c r="I91" s="26" t="s">
        <v>69</v>
      </c>
    </row>
    <row r="92" spans="1:9" x14ac:dyDescent="0.4">
      <c r="A92" t="s">
        <v>3</v>
      </c>
      <c r="B92" s="18">
        <v>3.1</v>
      </c>
      <c r="C92" s="6">
        <v>2801.5</v>
      </c>
      <c r="D92" s="8">
        <f>C92/C94</f>
        <v>102.61904761904762</v>
      </c>
      <c r="E92" s="23"/>
      <c r="F92" s="7" t="e">
        <f>AVERAGE(E92,E97)</f>
        <v>#DIV/0!</v>
      </c>
      <c r="G92" s="13" t="e">
        <f>STDEV(E92,E97)</f>
        <v>#DIV/0!</v>
      </c>
      <c r="H92" s="14" t="e">
        <f>((F92*1000)/1.1)</f>
        <v>#DIV/0!</v>
      </c>
      <c r="I92" s="13" t="e">
        <f>(H92/120.15)*1000</f>
        <v>#DIV/0!</v>
      </c>
    </row>
    <row r="93" spans="1:9" x14ac:dyDescent="0.4">
      <c r="A93" t="s">
        <v>5</v>
      </c>
      <c r="B93" s="18">
        <v>4.83</v>
      </c>
      <c r="C93" s="6">
        <v>0.33300000000000002</v>
      </c>
      <c r="D93" s="8">
        <f>C93/C94</f>
        <v>1.2197802197802199E-2</v>
      </c>
      <c r="E93" s="13"/>
      <c r="F93" s="8"/>
      <c r="G93" s="13"/>
      <c r="H93" s="14"/>
      <c r="I93" s="13"/>
    </row>
    <row r="94" spans="1:9" ht="15" thickBot="1" x14ac:dyDescent="0.45">
      <c r="A94" t="s">
        <v>4</v>
      </c>
      <c r="B94" s="20">
        <v>6.2119999999999997</v>
      </c>
      <c r="C94" s="16">
        <v>27.3</v>
      </c>
      <c r="D94" s="16"/>
      <c r="E94" s="24"/>
      <c r="F94" s="16"/>
      <c r="G94" s="17"/>
      <c r="H94" s="27"/>
      <c r="I94" s="17"/>
    </row>
    <row r="95" spans="1:9" s="1" customFormat="1" ht="15" thickBot="1" x14ac:dyDescent="0.45">
      <c r="A95" s="1" t="s">
        <v>96</v>
      </c>
    </row>
    <row r="96" spans="1:9" x14ac:dyDescent="0.4">
      <c r="A96" t="s">
        <v>0</v>
      </c>
      <c r="B96" s="9" t="s">
        <v>2</v>
      </c>
      <c r="C96" s="10" t="s">
        <v>1</v>
      </c>
      <c r="D96" s="10" t="s">
        <v>44</v>
      </c>
      <c r="E96" s="11"/>
    </row>
    <row r="97" spans="1:9" x14ac:dyDescent="0.4">
      <c r="A97" t="s">
        <v>3</v>
      </c>
      <c r="B97" s="18">
        <v>3.14</v>
      </c>
      <c r="C97" s="21">
        <v>2875.1</v>
      </c>
      <c r="D97" s="8">
        <f>C97/C99</f>
        <v>102.31672597864768</v>
      </c>
      <c r="E97" s="23"/>
      <c r="F97" s="7">
        <f>C99/(C97+C98+C99)</f>
        <v>9.6779015278685692E-3</v>
      </c>
    </row>
    <row r="98" spans="1:9" x14ac:dyDescent="0.4">
      <c r="A98" t="s">
        <v>5</v>
      </c>
      <c r="B98" s="18">
        <v>4.83</v>
      </c>
      <c r="C98" s="21">
        <v>0.32200000000000001</v>
      </c>
      <c r="D98" s="8">
        <f>C98/C99</f>
        <v>1.1459074733096085E-2</v>
      </c>
      <c r="E98" s="13"/>
    </row>
    <row r="99" spans="1:9" ht="15" thickBot="1" x14ac:dyDescent="0.45">
      <c r="A99" t="s">
        <v>4</v>
      </c>
      <c r="B99" s="20">
        <v>6.2119999999999997</v>
      </c>
      <c r="C99" s="16">
        <v>28.1</v>
      </c>
      <c r="D99" s="16"/>
      <c r="E99" s="24"/>
    </row>
    <row r="100" spans="1:9" s="4" customFormat="1" x14ac:dyDescent="0.4">
      <c r="A100" s="4" t="s">
        <v>49</v>
      </c>
      <c r="D100" s="4" t="s">
        <v>101</v>
      </c>
    </row>
    <row r="101" spans="1:9" s="1" customFormat="1" ht="15" thickBot="1" x14ac:dyDescent="0.45">
      <c r="A101" s="1" t="s">
        <v>97</v>
      </c>
    </row>
    <row r="102" spans="1:9" x14ac:dyDescent="0.4">
      <c r="A102" t="s">
        <v>0</v>
      </c>
      <c r="B102" s="9" t="s">
        <v>2</v>
      </c>
      <c r="C102" s="10" t="s">
        <v>1</v>
      </c>
      <c r="D102" s="10" t="s">
        <v>44</v>
      </c>
      <c r="E102" s="11"/>
      <c r="F102" s="10" t="s">
        <v>45</v>
      </c>
      <c r="G102" s="11" t="s">
        <v>47</v>
      </c>
      <c r="H102" s="25" t="s">
        <v>70</v>
      </c>
      <c r="I102" s="26" t="s">
        <v>69</v>
      </c>
    </row>
    <row r="103" spans="1:9" x14ac:dyDescent="0.4">
      <c r="A103" t="s">
        <v>3</v>
      </c>
      <c r="B103" s="18">
        <v>3.1</v>
      </c>
      <c r="C103" s="6">
        <v>2827.1</v>
      </c>
      <c r="D103" s="8">
        <f>C103/C105</f>
        <v>98.505226480836242</v>
      </c>
      <c r="E103" s="23"/>
      <c r="F103" s="7" t="e">
        <f>AVERAGE(E103,E108)</f>
        <v>#DIV/0!</v>
      </c>
      <c r="G103" s="13" t="e">
        <f>STDEV(E103,E108)</f>
        <v>#DIV/0!</v>
      </c>
      <c r="H103" s="14" t="e">
        <f>((F103*1000)/1.1)</f>
        <v>#DIV/0!</v>
      </c>
      <c r="I103" s="13" t="e">
        <f>(H103/120.15)*1000</f>
        <v>#DIV/0!</v>
      </c>
    </row>
    <row r="104" spans="1:9" x14ac:dyDescent="0.4">
      <c r="A104" t="s">
        <v>5</v>
      </c>
      <c r="B104" s="18">
        <v>4.83</v>
      </c>
      <c r="C104" s="6">
        <v>0</v>
      </c>
      <c r="D104" s="8">
        <f>C104/C105</f>
        <v>0</v>
      </c>
      <c r="E104" s="13"/>
      <c r="F104" s="8"/>
      <c r="G104" s="13"/>
      <c r="H104" s="14"/>
      <c r="I104" s="13"/>
    </row>
    <row r="105" spans="1:9" ht="15" thickBot="1" x14ac:dyDescent="0.45">
      <c r="A105" t="s">
        <v>4</v>
      </c>
      <c r="B105" s="20">
        <v>6.2119999999999997</v>
      </c>
      <c r="C105" s="16">
        <v>28.7</v>
      </c>
      <c r="D105" s="16"/>
      <c r="E105" s="24"/>
      <c r="F105" s="16"/>
      <c r="G105" s="17"/>
      <c r="H105" s="27"/>
      <c r="I105" s="17"/>
    </row>
    <row r="106" spans="1:9" s="1" customFormat="1" ht="15" thickBot="1" x14ac:dyDescent="0.45">
      <c r="A106" s="1" t="s">
        <v>98</v>
      </c>
    </row>
    <row r="107" spans="1:9" x14ac:dyDescent="0.4">
      <c r="A107" t="s">
        <v>0</v>
      </c>
      <c r="B107" s="9" t="s">
        <v>2</v>
      </c>
      <c r="C107" s="10" t="s">
        <v>1</v>
      </c>
      <c r="D107" s="10" t="s">
        <v>44</v>
      </c>
      <c r="E107" s="11"/>
    </row>
    <row r="108" spans="1:9" x14ac:dyDescent="0.4">
      <c r="A108" t="s">
        <v>3</v>
      </c>
      <c r="B108" s="18">
        <v>3.14</v>
      </c>
      <c r="C108" s="21">
        <v>2929.5</v>
      </c>
      <c r="D108" s="8">
        <f>C108/C110</f>
        <v>99.982935153583611</v>
      </c>
      <c r="E108" s="23"/>
      <c r="F108" s="7">
        <f>C110/(C108+C109+C110)</f>
        <v>9.9026632418548061E-3</v>
      </c>
    </row>
    <row r="109" spans="1:9" x14ac:dyDescent="0.4">
      <c r="A109" t="s">
        <v>5</v>
      </c>
      <c r="B109" s="18">
        <v>4.83</v>
      </c>
      <c r="C109" s="21">
        <v>0</v>
      </c>
      <c r="D109" s="8">
        <f>C109/C110</f>
        <v>0</v>
      </c>
      <c r="E109" s="13"/>
    </row>
    <row r="110" spans="1:9" ht="15" thickBot="1" x14ac:dyDescent="0.45">
      <c r="A110" t="s">
        <v>4</v>
      </c>
      <c r="B110" s="20">
        <v>6.2119999999999997</v>
      </c>
      <c r="C110" s="16">
        <v>29.3</v>
      </c>
      <c r="D110" s="16"/>
      <c r="E110" s="24"/>
    </row>
    <row r="113" spans="1:7" s="98" customFormat="1" x14ac:dyDescent="0.4">
      <c r="A113" s="98" t="s">
        <v>181</v>
      </c>
    </row>
    <row r="114" spans="1:7" s="98" customFormat="1" x14ac:dyDescent="0.4"/>
    <row r="115" spans="1:7" s="1" customFormat="1" ht="15" thickBot="1" x14ac:dyDescent="0.45">
      <c r="A115" s="1" t="s">
        <v>182</v>
      </c>
      <c r="E115" s="1" t="s">
        <v>222</v>
      </c>
      <c r="F115" s="1" t="s">
        <v>223</v>
      </c>
    </row>
    <row r="116" spans="1:7" x14ac:dyDescent="0.4">
      <c r="A116" t="s">
        <v>0</v>
      </c>
      <c r="B116" s="9" t="s">
        <v>2</v>
      </c>
      <c r="C116" s="10" t="s">
        <v>1</v>
      </c>
      <c r="D116" s="10" t="s">
        <v>44</v>
      </c>
      <c r="E116" s="26" t="s">
        <v>69</v>
      </c>
      <c r="F116" s="26" t="s">
        <v>69</v>
      </c>
    </row>
    <row r="117" spans="1:7" x14ac:dyDescent="0.4">
      <c r="A117" t="s">
        <v>3</v>
      </c>
      <c r="B117" s="18">
        <v>3.14</v>
      </c>
      <c r="C117" s="21">
        <v>1403.6</v>
      </c>
      <c r="D117" s="8">
        <f>C117/C119</f>
        <v>51.226277372262771</v>
      </c>
      <c r="E117" s="74">
        <f>(D118+0.0045)/0.0056</f>
        <v>471.34580291970809</v>
      </c>
      <c r="F117" s="74">
        <f>(D118)/0.0056</f>
        <v>470.54223149113665</v>
      </c>
      <c r="G117" s="7">
        <f>C119/(C117+C118+C119)</f>
        <v>1.8227780734433208E-2</v>
      </c>
    </row>
    <row r="118" spans="1:7" x14ac:dyDescent="0.4">
      <c r="A118" t="s">
        <v>5</v>
      </c>
      <c r="B118" s="18">
        <v>4.83</v>
      </c>
      <c r="C118" s="21">
        <v>72.2</v>
      </c>
      <c r="D118" s="8">
        <f>C118/C119</f>
        <v>2.6350364963503652</v>
      </c>
      <c r="E118" s="13"/>
      <c r="F118" s="13"/>
    </row>
    <row r="119" spans="1:7" ht="15" thickBot="1" x14ac:dyDescent="0.45">
      <c r="A119" t="s">
        <v>4</v>
      </c>
      <c r="B119" s="20">
        <v>6.2119999999999997</v>
      </c>
      <c r="C119" s="16">
        <v>27.4</v>
      </c>
      <c r="D119" s="16"/>
      <c r="E119" s="24"/>
      <c r="F119" s="24"/>
    </row>
    <row r="120" spans="1:7" s="1" customFormat="1" ht="15" thickBot="1" x14ac:dyDescent="0.45">
      <c r="A120" s="1" t="s">
        <v>183</v>
      </c>
    </row>
    <row r="121" spans="1:7" x14ac:dyDescent="0.4">
      <c r="A121" t="s">
        <v>0</v>
      </c>
      <c r="B121" s="9" t="s">
        <v>2</v>
      </c>
      <c r="C121" s="10" t="s">
        <v>1</v>
      </c>
      <c r="D121" s="10" t="s">
        <v>44</v>
      </c>
      <c r="E121" s="26" t="s">
        <v>69</v>
      </c>
      <c r="F121" s="26" t="s">
        <v>69</v>
      </c>
    </row>
    <row r="122" spans="1:7" x14ac:dyDescent="0.4">
      <c r="A122" t="s">
        <v>3</v>
      </c>
      <c r="B122" s="18">
        <v>3.14</v>
      </c>
      <c r="C122" s="21">
        <v>1461.4</v>
      </c>
      <c r="D122" s="8">
        <f>C122/C124</f>
        <v>54.125925925925927</v>
      </c>
      <c r="E122" s="74">
        <f>(D123+0.0045)/0.0056</f>
        <v>46.240079365079374</v>
      </c>
      <c r="F122" s="74">
        <f>(D123)/0.0056</f>
        <v>45.436507936507944</v>
      </c>
      <c r="G122" s="7">
        <f>C124/(C122+C123+C124)</f>
        <v>1.8056939549379043E-2</v>
      </c>
    </row>
    <row r="123" spans="1:7" x14ac:dyDescent="0.4">
      <c r="A123" t="s">
        <v>5</v>
      </c>
      <c r="B123" s="18">
        <v>4.83</v>
      </c>
      <c r="C123" s="21">
        <v>6.87</v>
      </c>
      <c r="D123" s="8">
        <f>C123/C124</f>
        <v>0.25444444444444447</v>
      </c>
      <c r="E123" s="13"/>
      <c r="F123" s="13"/>
    </row>
    <row r="124" spans="1:7" ht="15" thickBot="1" x14ac:dyDescent="0.45">
      <c r="A124" t="s">
        <v>4</v>
      </c>
      <c r="B124" s="20">
        <v>6.2119999999999997</v>
      </c>
      <c r="C124" s="16">
        <v>27</v>
      </c>
      <c r="D124" s="16"/>
      <c r="E124" s="24"/>
      <c r="F124" s="24"/>
    </row>
    <row r="125" spans="1:7" s="1" customFormat="1" ht="15" thickBot="1" x14ac:dyDescent="0.45">
      <c r="A125" s="1" t="s">
        <v>184</v>
      </c>
    </row>
    <row r="126" spans="1:7" x14ac:dyDescent="0.4">
      <c r="A126" t="s">
        <v>0</v>
      </c>
      <c r="B126" s="9" t="s">
        <v>2</v>
      </c>
      <c r="C126" s="10" t="s">
        <v>1</v>
      </c>
      <c r="D126" s="10" t="s">
        <v>44</v>
      </c>
      <c r="E126" s="26" t="s">
        <v>69</v>
      </c>
      <c r="F126" s="26" t="s">
        <v>69</v>
      </c>
    </row>
    <row r="127" spans="1:7" x14ac:dyDescent="0.4">
      <c r="A127" t="s">
        <v>3</v>
      </c>
      <c r="B127" s="18">
        <v>3.14</v>
      </c>
      <c r="C127" s="21">
        <v>1433.8</v>
      </c>
      <c r="D127" s="8">
        <f>C127/C129</f>
        <v>54.725190839694655</v>
      </c>
      <c r="E127" s="74">
        <f>(D128+0.0045)/0.0056</f>
        <v>5.6495365321701199</v>
      </c>
      <c r="F127" s="74">
        <f>(D128)/0.0056</f>
        <v>4.8459651035986919</v>
      </c>
      <c r="G127" s="7">
        <f>C129/(C127+C128+C129)</f>
        <v>1.7936470663943792E-2</v>
      </c>
    </row>
    <row r="128" spans="1:7" x14ac:dyDescent="0.4">
      <c r="A128" t="s">
        <v>5</v>
      </c>
      <c r="B128" s="18">
        <v>4.83</v>
      </c>
      <c r="C128" s="21">
        <v>0.71099999999999997</v>
      </c>
      <c r="D128" s="8">
        <f>C128/C129</f>
        <v>2.7137404580152673E-2</v>
      </c>
      <c r="E128" s="13"/>
      <c r="F128" s="13"/>
    </row>
    <row r="129" spans="1:7" ht="15" thickBot="1" x14ac:dyDescent="0.45">
      <c r="A129" t="s">
        <v>4</v>
      </c>
      <c r="B129" s="20">
        <v>6.2119999999999997</v>
      </c>
      <c r="C129" s="16">
        <v>26.2</v>
      </c>
      <c r="D129" s="16"/>
      <c r="E129" s="24"/>
      <c r="F129" s="24"/>
    </row>
    <row r="130" spans="1:7" s="1" customFormat="1" ht="15" thickBot="1" x14ac:dyDescent="0.45">
      <c r="A130" s="1" t="s">
        <v>185</v>
      </c>
    </row>
    <row r="131" spans="1:7" x14ac:dyDescent="0.4">
      <c r="A131" t="s">
        <v>0</v>
      </c>
      <c r="B131" s="9" t="s">
        <v>2</v>
      </c>
      <c r="C131" s="10" t="s">
        <v>1</v>
      </c>
      <c r="D131" s="10" t="s">
        <v>44</v>
      </c>
      <c r="E131" s="26" t="s">
        <v>69</v>
      </c>
      <c r="F131" s="26" t="s">
        <v>69</v>
      </c>
    </row>
    <row r="132" spans="1:7" x14ac:dyDescent="0.4">
      <c r="A132" t="s">
        <v>3</v>
      </c>
      <c r="B132" s="18">
        <v>3.14</v>
      </c>
      <c r="C132" s="21">
        <v>6982.9</v>
      </c>
      <c r="D132" s="8">
        <f>C132/C134</f>
        <v>51.044590643274844</v>
      </c>
      <c r="E132" s="74">
        <f>(D133+0.0045)/0.0056</f>
        <v>5.450605680868839</v>
      </c>
      <c r="F132" s="74">
        <f>(D133)/0.0056</f>
        <v>4.6470342522974102</v>
      </c>
      <c r="G132" s="7">
        <f>C134/(C132+C133+C134)</f>
        <v>1.9204689987449567E-2</v>
      </c>
    </row>
    <row r="133" spans="1:7" x14ac:dyDescent="0.4">
      <c r="A133" t="s">
        <v>5</v>
      </c>
      <c r="B133" s="18">
        <v>4.83</v>
      </c>
      <c r="C133" s="21">
        <v>3.56</v>
      </c>
      <c r="D133" s="8">
        <f>C133/C134</f>
        <v>2.6023391812865497E-2</v>
      </c>
      <c r="E133" s="13"/>
      <c r="F133" s="13"/>
    </row>
    <row r="134" spans="1:7" ht="15" thickBot="1" x14ac:dyDescent="0.45">
      <c r="A134" t="s">
        <v>4</v>
      </c>
      <c r="B134" s="20">
        <v>6.2119999999999997</v>
      </c>
      <c r="C134" s="16">
        <v>136.80000000000001</v>
      </c>
      <c r="D134" s="16"/>
      <c r="E134" s="24"/>
      <c r="F134" s="24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C7078-ABEE-4220-B019-BBBC9A5F9581}">
  <dimension ref="A2:M94"/>
  <sheetViews>
    <sheetView zoomScale="78" zoomScaleNormal="110" workbookViewId="0">
      <selection activeCell="I29" sqref="I29"/>
    </sheetView>
  </sheetViews>
  <sheetFormatPr defaultRowHeight="14.6" x14ac:dyDescent="0.4"/>
  <cols>
    <col min="1" max="1" width="12.921875" customWidth="1"/>
    <col min="2" max="3" width="8.69140625" customWidth="1"/>
    <col min="6" max="6" width="9.61328125" customWidth="1"/>
    <col min="8" max="8" width="8.69140625" customWidth="1"/>
  </cols>
  <sheetData>
    <row r="2" spans="1:13" s="1" customFormat="1" x14ac:dyDescent="0.4">
      <c r="A2" s="1" t="s">
        <v>6</v>
      </c>
    </row>
    <row r="3" spans="1:13" x14ac:dyDescent="0.4">
      <c r="A3" t="s">
        <v>0</v>
      </c>
      <c r="B3" t="s">
        <v>46</v>
      </c>
      <c r="C3" t="s">
        <v>52</v>
      </c>
      <c r="D3" t="s">
        <v>2</v>
      </c>
      <c r="E3" t="s">
        <v>1</v>
      </c>
      <c r="F3" t="s">
        <v>44</v>
      </c>
      <c r="H3" t="s">
        <v>45</v>
      </c>
      <c r="I3" t="s">
        <v>47</v>
      </c>
    </row>
    <row r="4" spans="1:13" x14ac:dyDescent="0.4">
      <c r="A4" t="s">
        <v>3</v>
      </c>
      <c r="B4">
        <v>100</v>
      </c>
      <c r="D4">
        <v>3.1709999999999998</v>
      </c>
      <c r="E4">
        <v>95.2</v>
      </c>
      <c r="F4" s="2">
        <f>E4/E6</f>
        <v>39.666666666666671</v>
      </c>
      <c r="H4" s="2">
        <f>AVERAGE(F4,F9)</f>
        <v>38.8010752688172</v>
      </c>
      <c r="I4">
        <f>STDEV(F4,F9)</f>
        <v>1.2241310943122024</v>
      </c>
      <c r="L4">
        <v>0</v>
      </c>
      <c r="M4">
        <v>0</v>
      </c>
    </row>
    <row r="5" spans="1:13" x14ac:dyDescent="0.4">
      <c r="A5" t="s">
        <v>5</v>
      </c>
      <c r="B5">
        <v>0</v>
      </c>
      <c r="C5">
        <v>0</v>
      </c>
      <c r="F5">
        <f>E5/E6</f>
        <v>0</v>
      </c>
      <c r="H5" s="2">
        <f>AVERAGE(F5,F10)</f>
        <v>0</v>
      </c>
      <c r="I5">
        <f>STDEV(F5,F10)</f>
        <v>0</v>
      </c>
      <c r="L5" s="2">
        <f>C15</f>
        <v>87.557000000000002</v>
      </c>
      <c r="M5" s="2">
        <f>H15</f>
        <v>0.35375000000000001</v>
      </c>
    </row>
    <row r="6" spans="1:13" x14ac:dyDescent="0.4">
      <c r="A6" t="s">
        <v>4</v>
      </c>
      <c r="D6">
        <v>6.2149999999999999</v>
      </c>
      <c r="E6">
        <v>2.4</v>
      </c>
      <c r="L6">
        <f>C25</f>
        <v>175.114</v>
      </c>
      <c r="M6" s="2">
        <f>H25</f>
        <v>0.36688311688311687</v>
      </c>
    </row>
    <row r="7" spans="1:13" s="1" customFormat="1" x14ac:dyDescent="0.4">
      <c r="A7" s="1" t="s">
        <v>7</v>
      </c>
      <c r="L7" s="1">
        <f>C35</f>
        <v>875.57</v>
      </c>
      <c r="M7" s="22">
        <f>H35</f>
        <v>2.115088619402985</v>
      </c>
    </row>
    <row r="8" spans="1:13" x14ac:dyDescent="0.4">
      <c r="A8" t="s">
        <v>0</v>
      </c>
      <c r="B8" t="s">
        <v>46</v>
      </c>
      <c r="D8" t="s">
        <v>2</v>
      </c>
      <c r="E8" t="s">
        <v>1</v>
      </c>
      <c r="F8" t="s">
        <v>44</v>
      </c>
      <c r="L8">
        <f>C45</f>
        <v>4377.8500000000004</v>
      </c>
      <c r="M8" s="2">
        <f>H45</f>
        <v>10.033724340175954</v>
      </c>
    </row>
    <row r="9" spans="1:13" x14ac:dyDescent="0.4">
      <c r="A9" t="s">
        <v>3</v>
      </c>
      <c r="B9">
        <v>100</v>
      </c>
      <c r="D9">
        <v>3.1680000000000001</v>
      </c>
      <c r="E9">
        <v>117.6</v>
      </c>
      <c r="F9" s="2">
        <f>E9/E11</f>
        <v>37.935483870967737</v>
      </c>
    </row>
    <row r="10" spans="1:13" x14ac:dyDescent="0.4">
      <c r="A10" t="s">
        <v>5</v>
      </c>
      <c r="B10">
        <v>0</v>
      </c>
      <c r="C10">
        <v>0</v>
      </c>
      <c r="F10">
        <f>E10/E11</f>
        <v>0</v>
      </c>
    </row>
    <row r="11" spans="1:13" x14ac:dyDescent="0.4">
      <c r="A11" t="s">
        <v>4</v>
      </c>
      <c r="D11">
        <v>6.2140000000000004</v>
      </c>
      <c r="E11">
        <v>3.1</v>
      </c>
    </row>
    <row r="12" spans="1:13" s="1" customFormat="1" x14ac:dyDescent="0.4">
      <c r="A12" s="1" t="s">
        <v>8</v>
      </c>
    </row>
    <row r="13" spans="1:13" x14ac:dyDescent="0.4">
      <c r="A13" t="s">
        <v>0</v>
      </c>
      <c r="B13" t="s">
        <v>46</v>
      </c>
      <c r="C13" t="s">
        <v>51</v>
      </c>
      <c r="D13" t="s">
        <v>2</v>
      </c>
      <c r="E13" t="s">
        <v>1</v>
      </c>
      <c r="F13" t="s">
        <v>44</v>
      </c>
      <c r="H13" t="s">
        <v>45</v>
      </c>
      <c r="I13" t="s">
        <v>47</v>
      </c>
    </row>
    <row r="14" spans="1:13" x14ac:dyDescent="0.4">
      <c r="A14" t="s">
        <v>3</v>
      </c>
      <c r="B14">
        <v>99</v>
      </c>
      <c r="D14">
        <v>3.17</v>
      </c>
      <c r="E14">
        <v>83.1</v>
      </c>
      <c r="F14" s="2">
        <f>E14/E16</f>
        <v>20.774999999999999</v>
      </c>
      <c r="G14">
        <f>F15/(F14+F15)*100</f>
        <v>1.6917070862415711</v>
      </c>
      <c r="H14" s="2">
        <f>AVERAGE(F14,F19)</f>
        <v>25.549999999999997</v>
      </c>
      <c r="I14">
        <f>STDEV(F14,F19)</f>
        <v>6.7528697603315244</v>
      </c>
    </row>
    <row r="15" spans="1:13" x14ac:dyDescent="0.4">
      <c r="A15" t="s">
        <v>5</v>
      </c>
      <c r="B15">
        <v>1</v>
      </c>
      <c r="C15">
        <f>87.557</f>
        <v>87.557000000000002</v>
      </c>
      <c r="D15">
        <v>4.83</v>
      </c>
      <c r="E15">
        <v>1.43</v>
      </c>
      <c r="F15" s="5">
        <f>E15/E16</f>
        <v>0.35749999999999998</v>
      </c>
      <c r="H15" s="2">
        <f>AVERAGE(F15,F20)</f>
        <v>0.35375000000000001</v>
      </c>
      <c r="I15">
        <f>STDEV(F15,F20)</f>
        <v>5.3033008588991111E-3</v>
      </c>
    </row>
    <row r="16" spans="1:13" x14ac:dyDescent="0.4">
      <c r="A16" t="s">
        <v>4</v>
      </c>
      <c r="D16">
        <v>6.2149999999999999</v>
      </c>
      <c r="E16">
        <v>4</v>
      </c>
    </row>
    <row r="17" spans="1:9" s="1" customFormat="1" x14ac:dyDescent="0.4">
      <c r="A17" s="1" t="s">
        <v>9</v>
      </c>
    </row>
    <row r="18" spans="1:9" x14ac:dyDescent="0.4">
      <c r="A18" t="s">
        <v>0</v>
      </c>
      <c r="B18" t="s">
        <v>46</v>
      </c>
      <c r="D18" t="s">
        <v>2</v>
      </c>
      <c r="E18" t="s">
        <v>1</v>
      </c>
      <c r="F18" t="s">
        <v>44</v>
      </c>
    </row>
    <row r="19" spans="1:9" x14ac:dyDescent="0.4">
      <c r="A19" t="s">
        <v>3</v>
      </c>
      <c r="B19">
        <v>99</v>
      </c>
      <c r="D19">
        <v>3.17</v>
      </c>
      <c r="E19">
        <v>121.3</v>
      </c>
      <c r="F19" s="2">
        <f>E19/E21</f>
        <v>30.324999999999999</v>
      </c>
      <c r="G19">
        <f>F20/(F19+F20)*100</f>
        <v>1.1409942950285248</v>
      </c>
    </row>
    <row r="20" spans="1:9" x14ac:dyDescent="0.4">
      <c r="A20" t="s">
        <v>5</v>
      </c>
      <c r="B20">
        <v>1</v>
      </c>
      <c r="C20">
        <f>87.557</f>
        <v>87.557000000000002</v>
      </c>
      <c r="D20">
        <v>4.83</v>
      </c>
      <c r="E20">
        <v>1.4</v>
      </c>
      <c r="F20" s="5">
        <f>E20/E21</f>
        <v>0.35</v>
      </c>
    </row>
    <row r="21" spans="1:9" x14ac:dyDescent="0.4">
      <c r="A21" t="s">
        <v>4</v>
      </c>
      <c r="D21">
        <v>6.2140000000000004</v>
      </c>
      <c r="E21">
        <v>4</v>
      </c>
    </row>
    <row r="22" spans="1:9" s="1" customFormat="1" x14ac:dyDescent="0.4">
      <c r="A22" s="1" t="s">
        <v>10</v>
      </c>
    </row>
    <row r="23" spans="1:9" x14ac:dyDescent="0.4">
      <c r="A23" t="s">
        <v>0</v>
      </c>
      <c r="B23" t="s">
        <v>46</v>
      </c>
      <c r="D23" t="s">
        <v>2</v>
      </c>
      <c r="E23" t="s">
        <v>1</v>
      </c>
      <c r="F23" t="s">
        <v>44</v>
      </c>
      <c r="H23" t="s">
        <v>45</v>
      </c>
      <c r="I23" t="s">
        <v>47</v>
      </c>
    </row>
    <row r="24" spans="1:9" x14ac:dyDescent="0.4">
      <c r="A24" t="s">
        <v>3</v>
      </c>
      <c r="B24">
        <v>98</v>
      </c>
      <c r="D24">
        <v>3.1680000000000001</v>
      </c>
      <c r="E24">
        <v>136.30000000000001</v>
      </c>
      <c r="F24" s="2">
        <f>E24/E26</f>
        <v>17.701298701298704</v>
      </c>
      <c r="G24">
        <f>F25/(F24+F25)*100</f>
        <v>2.0833333333333326</v>
      </c>
      <c r="H24" s="2">
        <f>AVERAGE(F24,F29)</f>
        <v>17.400649350649353</v>
      </c>
      <c r="I24">
        <f>STDEV(F24,F29)</f>
        <v>0.42518238920697687</v>
      </c>
    </row>
    <row r="25" spans="1:9" x14ac:dyDescent="0.4">
      <c r="A25" t="s">
        <v>5</v>
      </c>
      <c r="B25">
        <v>2</v>
      </c>
      <c r="C25">
        <f>C20*2</f>
        <v>175.114</v>
      </c>
      <c r="D25">
        <v>4.83</v>
      </c>
      <c r="E25">
        <v>2.9</v>
      </c>
      <c r="F25" s="2">
        <f>E25/E26</f>
        <v>0.37662337662337658</v>
      </c>
      <c r="H25" s="2">
        <f>AVERAGE(F25,F30)</f>
        <v>0.36688311688311687</v>
      </c>
      <c r="I25">
        <f>STDEV(F25,F30)</f>
        <v>1.3774807425711931E-2</v>
      </c>
    </row>
    <row r="26" spans="1:9" x14ac:dyDescent="0.4">
      <c r="A26" t="s">
        <v>4</v>
      </c>
      <c r="D26">
        <v>6.2140000000000004</v>
      </c>
      <c r="E26">
        <v>7.7</v>
      </c>
    </row>
    <row r="27" spans="1:9" s="1" customFormat="1" x14ac:dyDescent="0.4">
      <c r="A27" s="1" t="s">
        <v>11</v>
      </c>
    </row>
    <row r="28" spans="1:9" x14ac:dyDescent="0.4">
      <c r="A28" t="s">
        <v>0</v>
      </c>
      <c r="B28" t="s">
        <v>46</v>
      </c>
      <c r="D28" t="s">
        <v>2</v>
      </c>
      <c r="E28" t="s">
        <v>1</v>
      </c>
      <c r="F28" t="s">
        <v>44</v>
      </c>
    </row>
    <row r="29" spans="1:9" x14ac:dyDescent="0.4">
      <c r="A29" t="s">
        <v>3</v>
      </c>
      <c r="B29">
        <v>98</v>
      </c>
      <c r="D29">
        <v>3.1680000000000001</v>
      </c>
      <c r="E29">
        <v>119.7</v>
      </c>
      <c r="F29" s="2">
        <f>E29/E31</f>
        <v>17.100000000000001</v>
      </c>
      <c r="G29">
        <f>F30/(F29+F30)*100</f>
        <v>2.0458265139116203</v>
      </c>
    </row>
    <row r="30" spans="1:9" x14ac:dyDescent="0.4">
      <c r="A30" t="s">
        <v>5</v>
      </c>
      <c r="B30">
        <v>2</v>
      </c>
      <c r="C30">
        <f>C25</f>
        <v>175.114</v>
      </c>
      <c r="D30">
        <v>4.83</v>
      </c>
      <c r="E30">
        <v>2.5</v>
      </c>
      <c r="F30" s="2">
        <f>E30/E31</f>
        <v>0.35714285714285715</v>
      </c>
    </row>
    <row r="31" spans="1:9" x14ac:dyDescent="0.4">
      <c r="A31" t="s">
        <v>4</v>
      </c>
      <c r="D31">
        <v>6.2140000000000004</v>
      </c>
      <c r="E31">
        <v>7</v>
      </c>
    </row>
    <row r="32" spans="1:9" s="1" customFormat="1" x14ac:dyDescent="0.4">
      <c r="A32" s="1" t="s">
        <v>12</v>
      </c>
    </row>
    <row r="33" spans="1:9" x14ac:dyDescent="0.4">
      <c r="A33" t="s">
        <v>0</v>
      </c>
      <c r="B33" t="s">
        <v>46</v>
      </c>
      <c r="D33" t="s">
        <v>2</v>
      </c>
      <c r="E33" t="s">
        <v>1</v>
      </c>
      <c r="F33" t="s">
        <v>44</v>
      </c>
      <c r="H33" t="s">
        <v>45</v>
      </c>
      <c r="I33" t="s">
        <v>47</v>
      </c>
    </row>
    <row r="34" spans="1:9" x14ac:dyDescent="0.4">
      <c r="A34" t="s">
        <v>3</v>
      </c>
      <c r="B34">
        <v>90</v>
      </c>
      <c r="D34">
        <v>3.17</v>
      </c>
      <c r="E34">
        <v>103.5</v>
      </c>
      <c r="F34" s="2">
        <f>E34/E36</f>
        <v>16.171875</v>
      </c>
      <c r="G34">
        <f>F35/(F34+F35)*100</f>
        <v>11.689419795221841</v>
      </c>
      <c r="H34" s="2">
        <f>AVERAGE(F34,F39)</f>
        <v>15.347131529850746</v>
      </c>
      <c r="I34">
        <f>STDEV(F34,F39)</f>
        <v>1.1663634009637254</v>
      </c>
    </row>
    <row r="35" spans="1:9" x14ac:dyDescent="0.4">
      <c r="A35" t="s">
        <v>5</v>
      </c>
      <c r="B35">
        <v>10</v>
      </c>
      <c r="C35">
        <f>C20*10</f>
        <v>875.57</v>
      </c>
      <c r="D35">
        <v>4.8280000000000003</v>
      </c>
      <c r="E35">
        <v>13.7</v>
      </c>
      <c r="F35" s="2">
        <f>E35/E36</f>
        <v>2.1406249999999996</v>
      </c>
      <c r="H35" s="2">
        <f>AVERAGE(F35,F40)</f>
        <v>2.115088619402985</v>
      </c>
      <c r="I35">
        <f>STDEV(F35,F40)</f>
        <v>3.611389577421948E-2</v>
      </c>
    </row>
    <row r="36" spans="1:9" x14ac:dyDescent="0.4">
      <c r="A36" t="s">
        <v>4</v>
      </c>
      <c r="D36">
        <v>6.2140000000000004</v>
      </c>
      <c r="E36">
        <v>6.4</v>
      </c>
    </row>
    <row r="37" spans="1:9" s="1" customFormat="1" x14ac:dyDescent="0.4">
      <c r="A37" s="1" t="s">
        <v>13</v>
      </c>
    </row>
    <row r="38" spans="1:9" x14ac:dyDescent="0.4">
      <c r="A38" t="s">
        <v>0</v>
      </c>
      <c r="B38" t="s">
        <v>46</v>
      </c>
      <c r="D38" t="s">
        <v>2</v>
      </c>
      <c r="E38" t="s">
        <v>1</v>
      </c>
      <c r="F38" t="s">
        <v>44</v>
      </c>
    </row>
    <row r="39" spans="1:9" x14ac:dyDescent="0.4">
      <c r="A39" t="s">
        <v>3</v>
      </c>
      <c r="B39">
        <v>90</v>
      </c>
      <c r="D39">
        <v>3.17</v>
      </c>
      <c r="E39">
        <v>97.3</v>
      </c>
      <c r="F39" s="2">
        <f>E39/E41</f>
        <v>14.522388059701491</v>
      </c>
      <c r="G39">
        <f>F40/(F39+F40)*100</f>
        <v>12.578616352201259</v>
      </c>
    </row>
    <row r="40" spans="1:9" x14ac:dyDescent="0.4">
      <c r="A40" t="s">
        <v>5</v>
      </c>
      <c r="B40">
        <v>10</v>
      </c>
      <c r="C40">
        <f>C35</f>
        <v>875.57</v>
      </c>
      <c r="D40">
        <v>4.8280000000000003</v>
      </c>
      <c r="E40">
        <v>14</v>
      </c>
      <c r="F40" s="2">
        <f>E40/E41</f>
        <v>2.08955223880597</v>
      </c>
    </row>
    <row r="41" spans="1:9" x14ac:dyDescent="0.4">
      <c r="A41" t="s">
        <v>4</v>
      </c>
      <c r="D41">
        <v>6.2130000000000001</v>
      </c>
      <c r="E41">
        <v>6.7</v>
      </c>
    </row>
    <row r="42" spans="1:9" s="1" customFormat="1" x14ac:dyDescent="0.4">
      <c r="A42" s="1" t="s">
        <v>14</v>
      </c>
    </row>
    <row r="43" spans="1:9" x14ac:dyDescent="0.4">
      <c r="A43" t="s">
        <v>0</v>
      </c>
      <c r="B43" t="s">
        <v>46</v>
      </c>
      <c r="D43" t="s">
        <v>2</v>
      </c>
      <c r="E43" t="s">
        <v>1</v>
      </c>
      <c r="F43" t="s">
        <v>44</v>
      </c>
      <c r="H43" t="s">
        <v>45</v>
      </c>
      <c r="I43" t="s">
        <v>47</v>
      </c>
    </row>
    <row r="44" spans="1:9" x14ac:dyDescent="0.4">
      <c r="A44" t="s">
        <v>3</v>
      </c>
      <c r="B44">
        <v>50</v>
      </c>
      <c r="D44">
        <v>3.177</v>
      </c>
      <c r="E44">
        <v>60.8</v>
      </c>
      <c r="F44" s="2">
        <f>E44/E46</f>
        <v>9.2121212121212128</v>
      </c>
      <c r="G44">
        <f>F45/(F44+F45)*100</f>
        <v>51.936758893280633</v>
      </c>
      <c r="H44" s="2">
        <f>AVERAGE(F44,F49)</f>
        <v>9.5899315738025415</v>
      </c>
      <c r="I44">
        <f>STDEV(F44,F49)</f>
        <v>0.53430453749481921</v>
      </c>
    </row>
    <row r="45" spans="1:9" x14ac:dyDescent="0.4">
      <c r="A45" t="s">
        <v>5</v>
      </c>
      <c r="B45">
        <v>50</v>
      </c>
      <c r="C45">
        <f>C15*50</f>
        <v>4377.8500000000004</v>
      </c>
      <c r="D45">
        <v>4.8250000000000002</v>
      </c>
      <c r="E45">
        <v>65.7</v>
      </c>
      <c r="F45" s="2">
        <f>E45/E46</f>
        <v>9.954545454545455</v>
      </c>
      <c r="H45" s="2">
        <f>AVERAGE(F45,F50)</f>
        <v>10.033724340175954</v>
      </c>
      <c r="I45">
        <f>STDEV(F45,F50)</f>
        <v>0.11197585391223909</v>
      </c>
    </row>
    <row r="46" spans="1:9" x14ac:dyDescent="0.4">
      <c r="A46" t="s">
        <v>4</v>
      </c>
      <c r="D46">
        <v>6.2149999999999999</v>
      </c>
      <c r="E46">
        <v>6.6</v>
      </c>
    </row>
    <row r="47" spans="1:9" s="1" customFormat="1" x14ac:dyDescent="0.4">
      <c r="A47" s="1" t="s">
        <v>15</v>
      </c>
    </row>
    <row r="48" spans="1:9" x14ac:dyDescent="0.4">
      <c r="A48" t="s">
        <v>0</v>
      </c>
      <c r="B48" t="s">
        <v>46</v>
      </c>
      <c r="D48" t="s">
        <v>2</v>
      </c>
      <c r="E48" t="s">
        <v>1</v>
      </c>
      <c r="F48" t="s">
        <v>44</v>
      </c>
    </row>
    <row r="49" spans="1:9" x14ac:dyDescent="0.4">
      <c r="A49" t="s">
        <v>3</v>
      </c>
      <c r="B49">
        <v>50</v>
      </c>
      <c r="D49">
        <v>3.1720000000000002</v>
      </c>
      <c r="E49">
        <v>61.8</v>
      </c>
      <c r="F49" s="2">
        <f>E49/E51</f>
        <v>9.9677419354838701</v>
      </c>
      <c r="G49">
        <f>F50/(F49+F50)*100</f>
        <v>50.361445783132538</v>
      </c>
    </row>
    <row r="50" spans="1:9" x14ac:dyDescent="0.4">
      <c r="A50" t="s">
        <v>5</v>
      </c>
      <c r="B50">
        <v>50</v>
      </c>
      <c r="C50">
        <f>C45</f>
        <v>4377.8500000000004</v>
      </c>
      <c r="D50">
        <v>4.8239999999999998</v>
      </c>
      <c r="E50">
        <v>62.7</v>
      </c>
      <c r="F50" s="2">
        <f>E50/E51</f>
        <v>10.112903225806452</v>
      </c>
    </row>
    <row r="51" spans="1:9" x14ac:dyDescent="0.4">
      <c r="A51" t="s">
        <v>4</v>
      </c>
      <c r="D51">
        <v>6.2140000000000004</v>
      </c>
      <c r="E51">
        <v>6.2</v>
      </c>
    </row>
    <row r="52" spans="1:9" s="1" customFormat="1" x14ac:dyDescent="0.4">
      <c r="A52" s="1" t="s">
        <v>16</v>
      </c>
    </row>
    <row r="53" spans="1:9" x14ac:dyDescent="0.4">
      <c r="A53" t="s">
        <v>0</v>
      </c>
      <c r="B53" t="s">
        <v>46</v>
      </c>
      <c r="D53" t="s">
        <v>2</v>
      </c>
      <c r="E53" t="s">
        <v>1</v>
      </c>
      <c r="F53" t="s">
        <v>44</v>
      </c>
      <c r="H53" t="s">
        <v>45</v>
      </c>
      <c r="I53" t="s">
        <v>47</v>
      </c>
    </row>
    <row r="54" spans="1:9" x14ac:dyDescent="0.4">
      <c r="A54" t="s">
        <v>3</v>
      </c>
      <c r="B54">
        <v>10</v>
      </c>
      <c r="D54">
        <v>3.1760000000000002</v>
      </c>
      <c r="E54">
        <v>14</v>
      </c>
      <c r="F54" s="2">
        <f>E54/E56</f>
        <v>2.8</v>
      </c>
      <c r="G54">
        <f>F55/(F54+F55)*100</f>
        <v>89.964157706093189</v>
      </c>
      <c r="H54" s="2">
        <f>AVERAGE(F54,F59)</f>
        <v>2.7482142857142859</v>
      </c>
      <c r="I54">
        <f>STDEV(F54,F59)</f>
        <v>7.3236059480035018E-2</v>
      </c>
    </row>
    <row r="55" spans="1:9" x14ac:dyDescent="0.4">
      <c r="A55" t="s">
        <v>5</v>
      </c>
      <c r="B55">
        <v>90</v>
      </c>
      <c r="C55">
        <f>C20*90</f>
        <v>7880.13</v>
      </c>
      <c r="D55">
        <v>4.82</v>
      </c>
      <c r="E55">
        <v>125.5</v>
      </c>
      <c r="F55" s="2">
        <f>E55/E56</f>
        <v>25.1</v>
      </c>
      <c r="H55" s="2">
        <f>AVERAGE(F55,F60)</f>
        <v>24.996428571428574</v>
      </c>
      <c r="I55">
        <f>STDEV(F55,F60)</f>
        <v>0.14647211896006943</v>
      </c>
    </row>
    <row r="56" spans="1:9" x14ac:dyDescent="0.4">
      <c r="A56" t="s">
        <v>4</v>
      </c>
      <c r="D56">
        <v>6.2130000000000001</v>
      </c>
      <c r="E56">
        <v>5</v>
      </c>
    </row>
    <row r="57" spans="1:9" s="1" customFormat="1" x14ac:dyDescent="0.4">
      <c r="A57" s="1" t="s">
        <v>17</v>
      </c>
    </row>
    <row r="58" spans="1:9" x14ac:dyDescent="0.4">
      <c r="A58" t="s">
        <v>0</v>
      </c>
      <c r="B58" t="s">
        <v>46</v>
      </c>
      <c r="D58" t="s">
        <v>2</v>
      </c>
      <c r="E58" t="s">
        <v>1</v>
      </c>
      <c r="F58" t="s">
        <v>44</v>
      </c>
    </row>
    <row r="59" spans="1:9" x14ac:dyDescent="0.4">
      <c r="A59" t="s">
        <v>3</v>
      </c>
      <c r="B59">
        <v>10</v>
      </c>
      <c r="D59">
        <v>3.1760000000000002</v>
      </c>
      <c r="E59">
        <v>15.1</v>
      </c>
      <c r="F59" s="2">
        <f>E59/E61</f>
        <v>2.6964285714285716</v>
      </c>
      <c r="G59">
        <f>F60/(F59+F60)*100</f>
        <v>90.226537216828476</v>
      </c>
    </row>
    <row r="60" spans="1:9" x14ac:dyDescent="0.4">
      <c r="A60" t="s">
        <v>5</v>
      </c>
      <c r="B60">
        <v>90</v>
      </c>
      <c r="C60">
        <f>C55</f>
        <v>7880.13</v>
      </c>
      <c r="D60">
        <v>4.819</v>
      </c>
      <c r="E60">
        <v>139.4</v>
      </c>
      <c r="F60" s="2">
        <f>E60/E61</f>
        <v>24.892857142857146</v>
      </c>
    </row>
    <row r="61" spans="1:9" x14ac:dyDescent="0.4">
      <c r="A61" t="s">
        <v>4</v>
      </c>
      <c r="D61">
        <v>6.2140000000000004</v>
      </c>
      <c r="E61">
        <v>5.6</v>
      </c>
    </row>
    <row r="62" spans="1:9" s="1" customFormat="1" x14ac:dyDescent="0.4">
      <c r="A62" s="1" t="s">
        <v>18</v>
      </c>
    </row>
    <row r="63" spans="1:9" x14ac:dyDescent="0.4">
      <c r="A63" t="s">
        <v>0</v>
      </c>
      <c r="B63" t="s">
        <v>46</v>
      </c>
      <c r="D63" t="s">
        <v>2</v>
      </c>
      <c r="E63" t="s">
        <v>1</v>
      </c>
      <c r="F63" t="s">
        <v>44</v>
      </c>
      <c r="H63" t="s">
        <v>45</v>
      </c>
      <c r="I63" t="s">
        <v>47</v>
      </c>
    </row>
    <row r="64" spans="1:9" x14ac:dyDescent="0.4">
      <c r="A64" t="s">
        <v>3</v>
      </c>
      <c r="B64">
        <v>2</v>
      </c>
      <c r="D64">
        <v>3.177</v>
      </c>
      <c r="E64">
        <v>3.3</v>
      </c>
      <c r="F64" s="2">
        <f>E64/E66</f>
        <v>0.78571428571428559</v>
      </c>
      <c r="G64">
        <f>F65/(F64+F65)*100</f>
        <v>97.631012203876537</v>
      </c>
      <c r="H64" s="2">
        <f>AVERAGE(F64,F69)</f>
        <v>0.79529616724738672</v>
      </c>
      <c r="I64">
        <f>STDEV(F64,F69)</f>
        <v>1.3550826817163927E-2</v>
      </c>
    </row>
    <row r="65" spans="1:9" x14ac:dyDescent="0.4">
      <c r="A65" t="s">
        <v>5</v>
      </c>
      <c r="B65">
        <v>98</v>
      </c>
      <c r="C65">
        <f>C20*98</f>
        <v>8580.5859999999993</v>
      </c>
      <c r="D65">
        <v>4.819</v>
      </c>
      <c r="E65">
        <v>136</v>
      </c>
      <c r="F65" s="2">
        <f>E65/E66</f>
        <v>32.38095238095238</v>
      </c>
      <c r="H65" s="2">
        <f>AVERAGE(F65,F70)</f>
        <v>32.531939605110338</v>
      </c>
      <c r="I65">
        <f>STDEV(F65,F70)</f>
        <v>0.21352818014925171</v>
      </c>
    </row>
    <row r="66" spans="1:9" x14ac:dyDescent="0.4">
      <c r="A66" t="s">
        <v>4</v>
      </c>
      <c r="D66">
        <v>6.2140000000000004</v>
      </c>
      <c r="E66">
        <v>4.2</v>
      </c>
    </row>
    <row r="67" spans="1:9" s="1" customFormat="1" x14ac:dyDescent="0.4">
      <c r="A67" s="1" t="s">
        <v>19</v>
      </c>
    </row>
    <row r="68" spans="1:9" x14ac:dyDescent="0.4">
      <c r="A68" t="s">
        <v>0</v>
      </c>
      <c r="B68" t="s">
        <v>46</v>
      </c>
      <c r="D68" t="s">
        <v>2</v>
      </c>
      <c r="E68" t="s">
        <v>1</v>
      </c>
      <c r="F68" t="s">
        <v>44</v>
      </c>
    </row>
    <row r="69" spans="1:9" x14ac:dyDescent="0.4">
      <c r="A69" t="s">
        <v>3</v>
      </c>
      <c r="B69">
        <v>2</v>
      </c>
      <c r="D69">
        <v>3.177</v>
      </c>
      <c r="E69">
        <v>3.3</v>
      </c>
      <c r="F69" s="2">
        <f>E69/E71</f>
        <v>0.80487804878048785</v>
      </c>
      <c r="G69">
        <f>F70/(F69+F70)*100</f>
        <v>97.59650400582666</v>
      </c>
    </row>
    <row r="70" spans="1:9" x14ac:dyDescent="0.4">
      <c r="A70" t="s">
        <v>5</v>
      </c>
      <c r="B70">
        <v>98</v>
      </c>
      <c r="C70">
        <f>C65</f>
        <v>8580.5859999999993</v>
      </c>
      <c r="D70">
        <v>4.82</v>
      </c>
      <c r="E70">
        <v>134</v>
      </c>
      <c r="F70" s="2">
        <f>E70/E71</f>
        <v>32.682926829268297</v>
      </c>
    </row>
    <row r="71" spans="1:9" x14ac:dyDescent="0.4">
      <c r="A71" t="s">
        <v>4</v>
      </c>
      <c r="D71">
        <v>6.2140000000000004</v>
      </c>
      <c r="E71">
        <v>4.0999999999999996</v>
      </c>
    </row>
    <row r="72" spans="1:9" s="1" customFormat="1" x14ac:dyDescent="0.4">
      <c r="A72" s="1" t="s">
        <v>20</v>
      </c>
    </row>
    <row r="73" spans="1:9" x14ac:dyDescent="0.4">
      <c r="A73" t="s">
        <v>0</v>
      </c>
      <c r="B73" t="s">
        <v>46</v>
      </c>
      <c r="D73" t="s">
        <v>2</v>
      </c>
      <c r="E73" t="s">
        <v>1</v>
      </c>
      <c r="F73" t="s">
        <v>44</v>
      </c>
      <c r="H73" t="s">
        <v>45</v>
      </c>
      <c r="I73" t="s">
        <v>47</v>
      </c>
    </row>
    <row r="74" spans="1:9" x14ac:dyDescent="0.4">
      <c r="A74" t="s">
        <v>3</v>
      </c>
      <c r="B74">
        <v>1</v>
      </c>
      <c r="D74">
        <v>3.177</v>
      </c>
      <c r="E74">
        <v>2.2000000000000002</v>
      </c>
      <c r="F74" s="2">
        <f>E74/E76</f>
        <v>0.44000000000000006</v>
      </c>
      <c r="G74">
        <f>F75/(F74+F75)*100</f>
        <v>98.457223001402511</v>
      </c>
      <c r="H74" s="2">
        <f>AVERAGE(F74,F79)</f>
        <v>0.44619047619047619</v>
      </c>
      <c r="I74">
        <f>STDEV(F74,F79)</f>
        <v>8.7546553861190812E-3</v>
      </c>
    </row>
    <row r="75" spans="1:9" x14ac:dyDescent="0.4">
      <c r="A75" t="s">
        <v>5</v>
      </c>
      <c r="B75">
        <v>99</v>
      </c>
      <c r="C75">
        <f>C20*99</f>
        <v>8668.143</v>
      </c>
      <c r="D75">
        <v>4.819</v>
      </c>
      <c r="E75">
        <v>140.4</v>
      </c>
      <c r="F75" s="2">
        <f>E75/E76</f>
        <v>28.080000000000002</v>
      </c>
      <c r="H75" s="2">
        <f>AVERAGE(F75,F80)</f>
        <v>27.980476190476189</v>
      </c>
      <c r="I75">
        <f>STDEV(F75,F80)</f>
        <v>0.14074792120761032</v>
      </c>
    </row>
    <row r="76" spans="1:9" x14ac:dyDescent="0.4">
      <c r="A76" t="s">
        <v>4</v>
      </c>
      <c r="D76">
        <v>6.2140000000000004</v>
      </c>
      <c r="E76">
        <v>5</v>
      </c>
    </row>
    <row r="77" spans="1:9" s="1" customFormat="1" x14ac:dyDescent="0.4">
      <c r="A77" s="1" t="s">
        <v>21</v>
      </c>
    </row>
    <row r="78" spans="1:9" x14ac:dyDescent="0.4">
      <c r="A78" t="s">
        <v>0</v>
      </c>
      <c r="B78" t="s">
        <v>46</v>
      </c>
      <c r="D78" t="s">
        <v>2</v>
      </c>
      <c r="E78" t="s">
        <v>1</v>
      </c>
      <c r="F78" t="s">
        <v>44</v>
      </c>
    </row>
    <row r="79" spans="1:9" x14ac:dyDescent="0.4">
      <c r="A79" t="s">
        <v>3</v>
      </c>
      <c r="B79">
        <v>1</v>
      </c>
      <c r="D79">
        <v>3.177</v>
      </c>
      <c r="E79">
        <v>1.9</v>
      </c>
      <c r="F79" s="2">
        <f>E79/E81</f>
        <v>0.45238095238095233</v>
      </c>
      <c r="G79">
        <f>F80/(F79+F80)*100</f>
        <v>98.403361344537814</v>
      </c>
    </row>
    <row r="80" spans="1:9" x14ac:dyDescent="0.4">
      <c r="A80" t="s">
        <v>5</v>
      </c>
      <c r="B80">
        <v>99</v>
      </c>
      <c r="C80">
        <f>C75</f>
        <v>8668.143</v>
      </c>
      <c r="D80">
        <v>4.8209999999999997</v>
      </c>
      <c r="E80">
        <v>117.1</v>
      </c>
      <c r="F80" s="2">
        <f>E80/E81</f>
        <v>27.88095238095238</v>
      </c>
    </row>
    <row r="81" spans="1:9" x14ac:dyDescent="0.4">
      <c r="A81" t="s">
        <v>4</v>
      </c>
      <c r="D81">
        <v>6.2140000000000004</v>
      </c>
      <c r="E81">
        <v>4.2</v>
      </c>
    </row>
    <row r="82" spans="1:9" s="1" customFormat="1" x14ac:dyDescent="0.4">
      <c r="A82" s="1" t="s">
        <v>22</v>
      </c>
    </row>
    <row r="83" spans="1:9" x14ac:dyDescent="0.4">
      <c r="A83" t="s">
        <v>0</v>
      </c>
      <c r="B83" t="s">
        <v>46</v>
      </c>
      <c r="D83" t="s">
        <v>2</v>
      </c>
      <c r="E83" t="s">
        <v>1</v>
      </c>
      <c r="F83" t="s">
        <v>44</v>
      </c>
      <c r="H83" t="s">
        <v>45</v>
      </c>
      <c r="I83" t="s">
        <v>47</v>
      </c>
    </row>
    <row r="84" spans="1:9" x14ac:dyDescent="0.4">
      <c r="A84" t="s">
        <v>3</v>
      </c>
      <c r="B84">
        <v>0</v>
      </c>
      <c r="F84" s="2">
        <f>E84/E86</f>
        <v>0</v>
      </c>
      <c r="G84">
        <f>F85/(F84+F85)*100</f>
        <v>100</v>
      </c>
      <c r="H84" s="2">
        <f>AVERAGE(F84,F89)</f>
        <v>0</v>
      </c>
      <c r="I84">
        <f>STDEV(F84,F89)</f>
        <v>0</v>
      </c>
    </row>
    <row r="85" spans="1:9" x14ac:dyDescent="0.4">
      <c r="A85" t="s">
        <v>5</v>
      </c>
      <c r="B85">
        <v>100</v>
      </c>
      <c r="C85">
        <f>C15*100</f>
        <v>8755.7000000000007</v>
      </c>
      <c r="D85">
        <v>4.8209999999999997</v>
      </c>
      <c r="E85">
        <v>114.5</v>
      </c>
      <c r="F85" s="2">
        <f>E85/E86</f>
        <v>31.805555555555554</v>
      </c>
      <c r="H85" s="2">
        <f>AVERAGE(F85,F90)</f>
        <v>32.207655826558266</v>
      </c>
      <c r="I85">
        <f>STDEV(F85,F90)</f>
        <v>0.56865565668593065</v>
      </c>
    </row>
    <row r="86" spans="1:9" x14ac:dyDescent="0.4">
      <c r="A86" t="s">
        <v>4</v>
      </c>
      <c r="D86">
        <v>6.2140000000000004</v>
      </c>
      <c r="E86">
        <v>3.6</v>
      </c>
    </row>
    <row r="87" spans="1:9" s="1" customFormat="1" x14ac:dyDescent="0.4">
      <c r="A87" s="1" t="s">
        <v>23</v>
      </c>
    </row>
    <row r="88" spans="1:9" x14ac:dyDescent="0.4">
      <c r="A88" t="s">
        <v>0</v>
      </c>
      <c r="B88" t="s">
        <v>46</v>
      </c>
      <c r="D88" t="s">
        <v>2</v>
      </c>
      <c r="E88" t="s">
        <v>1</v>
      </c>
      <c r="F88" t="s">
        <v>44</v>
      </c>
    </row>
    <row r="89" spans="1:9" x14ac:dyDescent="0.4">
      <c r="A89" t="s">
        <v>3</v>
      </c>
      <c r="B89">
        <v>0</v>
      </c>
      <c r="F89" s="2">
        <f>E89/E91</f>
        <v>0</v>
      </c>
      <c r="G89">
        <f>F90/(F89+F90)*100</f>
        <v>100</v>
      </c>
    </row>
    <row r="90" spans="1:9" x14ac:dyDescent="0.4">
      <c r="A90" t="s">
        <v>5</v>
      </c>
      <c r="B90">
        <v>100</v>
      </c>
      <c r="C90">
        <f>C85</f>
        <v>8755.7000000000007</v>
      </c>
      <c r="D90">
        <v>4.82</v>
      </c>
      <c r="E90">
        <v>133.69999999999999</v>
      </c>
      <c r="F90" s="2">
        <f>E90/E91</f>
        <v>32.609756097560975</v>
      </c>
    </row>
    <row r="91" spans="1:9" x14ac:dyDescent="0.4">
      <c r="A91" t="s">
        <v>4</v>
      </c>
      <c r="D91">
        <v>6.2140000000000004</v>
      </c>
      <c r="E91">
        <v>4.0999999999999996</v>
      </c>
    </row>
    <row r="94" spans="1:9" x14ac:dyDescent="0.4">
      <c r="A94" t="s">
        <v>50</v>
      </c>
      <c r="D94">
        <f>AVERAGE(E6,E11,E16,E21,E26,E31,E36,E41,E46,E51,E56,E61,E66,E71,E76,E81,E86,E91)</f>
        <v>4.9944444444444436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99E2-6760-4B32-8784-C5723B30EEEF}">
  <dimension ref="A1:I21"/>
  <sheetViews>
    <sheetView zoomScale="60" workbookViewId="0">
      <selection activeCell="F18" sqref="F18"/>
    </sheetView>
  </sheetViews>
  <sheetFormatPr defaultRowHeight="14.6" x14ac:dyDescent="0.4"/>
  <cols>
    <col min="2" max="3" width="8.84375" bestFit="1" customWidth="1"/>
    <col min="4" max="4" width="12" customWidth="1"/>
    <col min="5" max="5" width="12.07421875" customWidth="1"/>
    <col min="6" max="6" width="12.07421875" bestFit="1" customWidth="1"/>
    <col min="7" max="7" width="8.84375" bestFit="1" customWidth="1"/>
    <col min="8" max="8" width="17.15234375" customWidth="1"/>
    <col min="9" max="9" width="13.4609375" bestFit="1" customWidth="1"/>
  </cols>
  <sheetData>
    <row r="1" spans="1:9" s="4" customFormat="1" x14ac:dyDescent="0.4">
      <c r="A1" s="4" t="s">
        <v>49</v>
      </c>
    </row>
    <row r="2" spans="1:9" s="1" customFormat="1" ht="15" thickBot="1" x14ac:dyDescent="0.45">
      <c r="A2" s="1" t="s">
        <v>99</v>
      </c>
    </row>
    <row r="3" spans="1:9" s="41" customFormat="1" x14ac:dyDescent="0.4">
      <c r="A3" s="41" t="s">
        <v>0</v>
      </c>
      <c r="B3" s="42" t="s">
        <v>2</v>
      </c>
      <c r="C3" s="43" t="s">
        <v>1</v>
      </c>
      <c r="D3" s="43" t="s">
        <v>44</v>
      </c>
      <c r="E3" s="44"/>
      <c r="F3" s="43" t="s">
        <v>45</v>
      </c>
      <c r="G3" s="44" t="s">
        <v>47</v>
      </c>
      <c r="H3" s="45" t="s">
        <v>70</v>
      </c>
      <c r="I3" s="46" t="s">
        <v>69</v>
      </c>
    </row>
    <row r="4" spans="1:9" s="41" customFormat="1" x14ac:dyDescent="0.4">
      <c r="A4" s="41" t="s">
        <v>3</v>
      </c>
      <c r="B4" s="47">
        <v>3.1</v>
      </c>
      <c r="C4" s="48">
        <v>402.4</v>
      </c>
      <c r="D4" s="49">
        <f>C4/C6</f>
        <v>21.404255319148934</v>
      </c>
      <c r="E4">
        <f>(D5-0.0135)/0.0051</f>
        <v>3443.3270755110548</v>
      </c>
      <c r="F4" s="50">
        <f>AVERAGE(E4,E9)</f>
        <v>4199.4073109404771</v>
      </c>
      <c r="G4" s="51">
        <f>STDEV(E4,E9)</f>
        <v>1069.2589231865286</v>
      </c>
      <c r="H4" s="52">
        <f>((F4*1000)/1.1)</f>
        <v>3817643.0099458881</v>
      </c>
      <c r="I4" s="51">
        <f>(H4/120.15)*1000</f>
        <v>31773974.281696945</v>
      </c>
    </row>
    <row r="5" spans="1:9" s="41" customFormat="1" x14ac:dyDescent="0.4">
      <c r="A5" s="41" t="s">
        <v>5</v>
      </c>
      <c r="B5" s="47">
        <v>4.83</v>
      </c>
      <c r="C5" s="48">
        <v>330.4</v>
      </c>
      <c r="D5" s="49">
        <f>C5/C6</f>
        <v>17.574468085106382</v>
      </c>
      <c r="E5" s="51"/>
      <c r="F5" s="49"/>
      <c r="G5" s="51"/>
      <c r="H5" s="52"/>
      <c r="I5" s="51"/>
    </row>
    <row r="6" spans="1:9" s="41" customFormat="1" ht="15" thickBot="1" x14ac:dyDescent="0.45">
      <c r="A6" s="41" t="s">
        <v>4</v>
      </c>
      <c r="B6" s="53">
        <v>6.2119999999999997</v>
      </c>
      <c r="C6" s="54">
        <v>18.8</v>
      </c>
      <c r="D6" s="54"/>
      <c r="E6" s="55"/>
      <c r="F6" s="54"/>
      <c r="G6" s="56"/>
      <c r="H6" s="57"/>
      <c r="I6" s="56"/>
    </row>
    <row r="7" spans="1:9" s="1" customFormat="1" ht="15" thickBot="1" x14ac:dyDescent="0.45">
      <c r="A7" s="1" t="s">
        <v>100</v>
      </c>
    </row>
    <row r="8" spans="1:9" s="41" customFormat="1" x14ac:dyDescent="0.4">
      <c r="A8" s="41" t="s">
        <v>0</v>
      </c>
      <c r="B8" s="42" t="s">
        <v>2</v>
      </c>
      <c r="C8" s="43" t="s">
        <v>1</v>
      </c>
      <c r="D8" s="43" t="s">
        <v>44</v>
      </c>
      <c r="E8" s="44"/>
    </row>
    <row r="9" spans="1:9" s="41" customFormat="1" x14ac:dyDescent="0.4">
      <c r="A9" s="41" t="s">
        <v>3</v>
      </c>
      <c r="B9" s="47">
        <v>3.14</v>
      </c>
      <c r="C9" s="58">
        <v>247.1</v>
      </c>
      <c r="D9" s="49">
        <f>C9/C11</f>
        <v>13.356756756756756</v>
      </c>
      <c r="E9">
        <f>(D10-0.0135)/0.0051</f>
        <v>4955.4875463698991</v>
      </c>
    </row>
    <row r="10" spans="1:9" s="41" customFormat="1" x14ac:dyDescent="0.4">
      <c r="A10" s="41" t="s">
        <v>5</v>
      </c>
      <c r="B10" s="47">
        <v>4.83</v>
      </c>
      <c r="C10" s="58">
        <v>467.8</v>
      </c>
      <c r="D10" s="49">
        <f>C10/C11</f>
        <v>25.286486486486488</v>
      </c>
      <c r="E10" s="51"/>
      <c r="G10" s="41">
        <f>E4/E9</f>
        <v>0.69485132255723969</v>
      </c>
    </row>
    <row r="11" spans="1:9" s="41" customFormat="1" ht="15" thickBot="1" x14ac:dyDescent="0.45">
      <c r="A11" s="41" t="s">
        <v>4</v>
      </c>
      <c r="B11" s="53">
        <v>6.2119999999999997</v>
      </c>
      <c r="C11" s="54">
        <v>18.5</v>
      </c>
      <c r="D11" s="54"/>
      <c r="E11" s="55"/>
    </row>
    <row r="12" spans="1:9" s="1" customFormat="1" ht="15" thickBot="1" x14ac:dyDescent="0.45">
      <c r="A12" s="1" t="s">
        <v>110</v>
      </c>
    </row>
    <row r="13" spans="1:9" x14ac:dyDescent="0.4">
      <c r="A13" t="s">
        <v>0</v>
      </c>
      <c r="B13" s="9" t="s">
        <v>2</v>
      </c>
      <c r="C13" s="10" t="s">
        <v>1</v>
      </c>
      <c r="D13" s="10" t="s">
        <v>44</v>
      </c>
      <c r="E13" s="11" t="s">
        <v>109</v>
      </c>
      <c r="F13" s="10"/>
      <c r="G13" s="6"/>
      <c r="H13" s="21"/>
      <c r="I13" s="21"/>
    </row>
    <row r="14" spans="1:9" x14ac:dyDescent="0.4">
      <c r="A14" t="s">
        <v>3</v>
      </c>
      <c r="B14" s="18">
        <v>3.1</v>
      </c>
      <c r="C14" s="59">
        <v>1289.9000000000001</v>
      </c>
      <c r="D14" s="8">
        <f>C14/C16</f>
        <v>48.859848484848492</v>
      </c>
      <c r="E14">
        <f>(D15-0.0135)/0.0051</f>
        <v>5.2257872846108144</v>
      </c>
      <c r="F14" s="63"/>
      <c r="G14" s="6"/>
      <c r="H14" s="6"/>
      <c r="I14" s="6"/>
    </row>
    <row r="15" spans="1:9" x14ac:dyDescent="0.4">
      <c r="A15" t="s">
        <v>5</v>
      </c>
      <c r="B15" s="18">
        <v>4.83</v>
      </c>
      <c r="C15" s="59">
        <v>1.06</v>
      </c>
      <c r="D15" s="8">
        <f>C15/C16</f>
        <v>4.0151515151515153E-2</v>
      </c>
      <c r="E15" s="13"/>
      <c r="F15" s="8"/>
      <c r="G15" s="6"/>
      <c r="H15" s="6"/>
      <c r="I15" s="6"/>
    </row>
    <row r="16" spans="1:9" ht="15" thickBot="1" x14ac:dyDescent="0.45">
      <c r="A16" t="s">
        <v>4</v>
      </c>
      <c r="B16" s="20">
        <v>6.2119999999999997</v>
      </c>
      <c r="C16" s="16">
        <v>26.4</v>
      </c>
      <c r="D16" s="16"/>
      <c r="E16" s="24"/>
      <c r="F16" s="16"/>
      <c r="G16" s="6"/>
      <c r="H16" s="6"/>
      <c r="I16" s="6"/>
    </row>
    <row r="17" spans="1:9" s="1" customFormat="1" ht="15" thickBot="1" x14ac:dyDescent="0.45">
      <c r="A17" s="1" t="s">
        <v>111</v>
      </c>
      <c r="G17" s="64"/>
      <c r="H17" s="64"/>
      <c r="I17" s="64"/>
    </row>
    <row r="18" spans="1:9" x14ac:dyDescent="0.4">
      <c r="A18" t="s">
        <v>0</v>
      </c>
      <c r="B18" s="9" t="s">
        <v>2</v>
      </c>
      <c r="C18" s="10" t="s">
        <v>1</v>
      </c>
      <c r="D18" s="10" t="s">
        <v>44</v>
      </c>
      <c r="E18" s="11"/>
      <c r="G18" s="6"/>
      <c r="H18" s="6"/>
      <c r="I18" s="6"/>
    </row>
    <row r="19" spans="1:9" x14ac:dyDescent="0.4">
      <c r="A19" t="s">
        <v>3</v>
      </c>
      <c r="B19" s="18">
        <v>3.14</v>
      </c>
      <c r="C19" s="21">
        <v>1221.3</v>
      </c>
      <c r="D19" s="8">
        <f>C19/C21</f>
        <v>49.445344129554655</v>
      </c>
      <c r="E19">
        <f>(D20-0.0135)/0.0051</f>
        <v>10.054378026514248</v>
      </c>
      <c r="G19" s="6"/>
      <c r="H19" s="6"/>
      <c r="I19" s="6"/>
    </row>
    <row r="20" spans="1:9" x14ac:dyDescent="0.4">
      <c r="A20" t="s">
        <v>5</v>
      </c>
      <c r="B20" s="18">
        <v>4.83</v>
      </c>
      <c r="C20" s="21">
        <v>1.6</v>
      </c>
      <c r="D20" s="8">
        <f>C20/C21</f>
        <v>6.4777327935222673E-2</v>
      </c>
      <c r="E20" s="13"/>
      <c r="G20" s="6"/>
      <c r="H20" s="6"/>
      <c r="I20" s="6"/>
    </row>
    <row r="21" spans="1:9" ht="15" thickBot="1" x14ac:dyDescent="0.45">
      <c r="A21" t="s">
        <v>4</v>
      </c>
      <c r="B21" s="20">
        <v>6.2119999999999997</v>
      </c>
      <c r="C21" s="16">
        <v>24.7</v>
      </c>
      <c r="D21" s="16"/>
      <c r="E21" s="24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CAB3F-F933-4297-BF87-1D5D3C12C621}">
  <dimension ref="A1:S84"/>
  <sheetViews>
    <sheetView topLeftCell="A4" zoomScale="63" zoomScaleNormal="70" workbookViewId="0">
      <selection activeCell="K30" sqref="K30"/>
    </sheetView>
  </sheetViews>
  <sheetFormatPr defaultRowHeight="14.6" x14ac:dyDescent="0.4"/>
  <cols>
    <col min="4" max="5" width="10.3828125" customWidth="1"/>
    <col min="7" max="7" width="18.07421875" customWidth="1"/>
    <col min="8" max="8" width="17.53515625" customWidth="1"/>
    <col min="9" max="9" width="17.4609375" customWidth="1"/>
    <col min="10" max="10" width="19.921875" customWidth="1"/>
    <col min="11" max="11" width="15" customWidth="1"/>
    <col min="12" max="12" width="24" customWidth="1"/>
    <col min="13" max="13" width="14.3828125" customWidth="1"/>
    <col min="14" max="14" width="10.3828125" customWidth="1"/>
    <col min="15" max="15" width="15" customWidth="1"/>
    <col min="16" max="16" width="24.921875" customWidth="1"/>
  </cols>
  <sheetData>
    <row r="1" spans="1:16" s="4" customFormat="1" x14ac:dyDescent="0.4">
      <c r="A1" s="4" t="s">
        <v>49</v>
      </c>
    </row>
    <row r="2" spans="1:16" s="1" customFormat="1" ht="15" thickBot="1" x14ac:dyDescent="0.45">
      <c r="A2" s="1" t="s">
        <v>53</v>
      </c>
    </row>
    <row r="3" spans="1:16" x14ac:dyDescent="0.4">
      <c r="A3" t="s">
        <v>0</v>
      </c>
      <c r="B3" s="9" t="s">
        <v>2</v>
      </c>
      <c r="C3" s="10" t="s">
        <v>1</v>
      </c>
      <c r="D3" s="10" t="s">
        <v>44</v>
      </c>
      <c r="E3" s="11" t="s">
        <v>48</v>
      </c>
      <c r="F3" s="10" t="s">
        <v>45</v>
      </c>
      <c r="G3" s="11" t="s">
        <v>47</v>
      </c>
      <c r="H3" s="25" t="s">
        <v>70</v>
      </c>
      <c r="I3" s="26" t="s">
        <v>69</v>
      </c>
    </row>
    <row r="4" spans="1:16" x14ac:dyDescent="0.4">
      <c r="A4" t="s">
        <v>3</v>
      </c>
      <c r="B4" s="18">
        <v>3.14</v>
      </c>
      <c r="C4" s="6">
        <v>1556.8</v>
      </c>
      <c r="D4" s="8">
        <f>C4/C6</f>
        <v>44.607449856733524</v>
      </c>
      <c r="E4" s="23">
        <f>C5/(C4+C5)</f>
        <v>0</v>
      </c>
      <c r="F4" s="7">
        <f>AVERAGE(E4,E9)</f>
        <v>0</v>
      </c>
      <c r="G4" s="13">
        <f>STDEV(E4,E9)</f>
        <v>0</v>
      </c>
      <c r="H4" s="14">
        <f>((F4*1000)/1.1)</f>
        <v>0</v>
      </c>
      <c r="I4" s="13">
        <f>(H4/120.15)*1000</f>
        <v>0</v>
      </c>
    </row>
    <row r="5" spans="1:16" x14ac:dyDescent="0.4">
      <c r="A5" t="s">
        <v>5</v>
      </c>
      <c r="B5" s="18">
        <v>4.83</v>
      </c>
      <c r="C5" s="6">
        <v>0</v>
      </c>
      <c r="D5" s="8">
        <f>C5/C6</f>
        <v>0</v>
      </c>
      <c r="E5" s="13"/>
      <c r="F5" s="8"/>
      <c r="G5" s="13"/>
      <c r="H5" s="14"/>
      <c r="I5" s="13"/>
    </row>
    <row r="6" spans="1:16" ht="15" thickBot="1" x14ac:dyDescent="0.45">
      <c r="A6" t="s">
        <v>4</v>
      </c>
      <c r="B6" s="20">
        <v>6.2119999999999997</v>
      </c>
      <c r="C6" s="16">
        <v>34.9</v>
      </c>
      <c r="D6" s="16"/>
      <c r="E6" s="24">
        <f>C6/(C5+C4+C6)</f>
        <v>2.1926242382358484E-2</v>
      </c>
      <c r="F6" s="16"/>
      <c r="G6" s="17"/>
      <c r="H6" s="27"/>
      <c r="I6" s="17"/>
    </row>
    <row r="7" spans="1:16" s="1" customFormat="1" ht="15" thickBot="1" x14ac:dyDescent="0.45">
      <c r="A7" s="1" t="s">
        <v>54</v>
      </c>
    </row>
    <row r="8" spans="1:16" x14ac:dyDescent="0.4">
      <c r="A8" t="s">
        <v>0</v>
      </c>
      <c r="B8" s="9" t="s">
        <v>2</v>
      </c>
      <c r="C8" s="10" t="s">
        <v>1</v>
      </c>
      <c r="D8" s="10" t="s">
        <v>44</v>
      </c>
      <c r="E8" s="11" t="s">
        <v>48</v>
      </c>
      <c r="G8" s="38" t="s">
        <v>69</v>
      </c>
    </row>
    <row r="9" spans="1:16" x14ac:dyDescent="0.4">
      <c r="A9" t="s">
        <v>3</v>
      </c>
      <c r="B9" s="18">
        <v>3.14</v>
      </c>
      <c r="C9" s="21">
        <v>1135.5</v>
      </c>
      <c r="D9" s="8">
        <f>C9/C11</f>
        <v>44.35546875</v>
      </c>
      <c r="E9" s="23">
        <f>C10/(C9+C10)</f>
        <v>0</v>
      </c>
      <c r="G9" s="39">
        <v>0</v>
      </c>
    </row>
    <row r="10" spans="1:16" x14ac:dyDescent="0.4">
      <c r="A10" t="s">
        <v>5</v>
      </c>
      <c r="B10" s="18">
        <v>4.83</v>
      </c>
      <c r="C10" s="21">
        <v>0</v>
      </c>
      <c r="D10" s="8">
        <f>C10/C11</f>
        <v>0</v>
      </c>
      <c r="E10" s="13"/>
      <c r="G10" s="39">
        <v>0</v>
      </c>
    </row>
    <row r="11" spans="1:16" ht="15" thickBot="1" x14ac:dyDescent="0.45">
      <c r="A11" t="s">
        <v>4</v>
      </c>
      <c r="B11" s="20">
        <v>6.2119999999999997</v>
      </c>
      <c r="C11" s="16">
        <v>25.6</v>
      </c>
      <c r="D11" s="16"/>
      <c r="E11" s="24">
        <f>C11/(C10+C9+C11)</f>
        <v>2.2048057876151928E-2</v>
      </c>
    </row>
    <row r="12" spans="1:16" s="1" customFormat="1" ht="15" thickBot="1" x14ac:dyDescent="0.45">
      <c r="A12" s="1" t="s">
        <v>55</v>
      </c>
    </row>
    <row r="13" spans="1:16" x14ac:dyDescent="0.4">
      <c r="A13" t="s">
        <v>0</v>
      </c>
      <c r="B13" s="9" t="s">
        <v>2</v>
      </c>
      <c r="C13" s="10" t="s">
        <v>1</v>
      </c>
      <c r="D13" s="10" t="s">
        <v>44</v>
      </c>
      <c r="E13" s="11" t="s">
        <v>48</v>
      </c>
      <c r="F13" s="10" t="s">
        <v>45</v>
      </c>
      <c r="G13" s="10" t="s">
        <v>47</v>
      </c>
      <c r="H13" s="25" t="s">
        <v>70</v>
      </c>
      <c r="I13" s="29" t="s">
        <v>69</v>
      </c>
      <c r="J13" s="10" t="s">
        <v>71</v>
      </c>
      <c r="K13" s="10" t="s">
        <v>72</v>
      </c>
      <c r="L13" s="10" t="s">
        <v>73</v>
      </c>
      <c r="M13" s="10" t="s">
        <v>76</v>
      </c>
      <c r="N13" s="11" t="s">
        <v>77</v>
      </c>
      <c r="O13" s="25" t="s">
        <v>75</v>
      </c>
      <c r="P13" s="26" t="s">
        <v>74</v>
      </c>
    </row>
    <row r="14" spans="1:16" x14ac:dyDescent="0.4">
      <c r="A14" t="s">
        <v>3</v>
      </c>
      <c r="B14" s="18">
        <v>3.14</v>
      </c>
      <c r="C14" s="21">
        <v>1250.4000000000001</v>
      </c>
      <c r="D14" s="8">
        <f>C14/C16</f>
        <v>45.802197802197803</v>
      </c>
      <c r="E14" s="23">
        <f>C15/(C14+C15)</f>
        <v>5.0038928047858313E-4</v>
      </c>
      <c r="F14" s="7">
        <f>AVERAGE(E14,E19)</f>
        <v>4.9197120403104131E-4</v>
      </c>
      <c r="G14" s="6">
        <f>STDEV(E14,E19)</f>
        <v>1.1904957881207089E-5</v>
      </c>
      <c r="H14" s="33">
        <f>((F14*1000)/1.1)</f>
        <v>0.44724654911912842</v>
      </c>
      <c r="I14" s="32">
        <f>(H14/120.15)*1000</f>
        <v>3.7224015740252052</v>
      </c>
      <c r="J14" s="31">
        <f>I14*1000/120</f>
        <v>31.020013116876711</v>
      </c>
      <c r="K14" s="28">
        <f>(20/500)*1000</f>
        <v>40</v>
      </c>
      <c r="L14" s="31">
        <f>J14/K14</f>
        <v>0.77550032792191781</v>
      </c>
      <c r="M14" s="30">
        <f>K14/44400</f>
        <v>9.0090090090090091E-4</v>
      </c>
      <c r="N14" s="40">
        <f>(I14/M14)</f>
        <v>4131.865747167978</v>
      </c>
      <c r="O14" s="14">
        <f>200/0.5</f>
        <v>400</v>
      </c>
      <c r="P14" s="34">
        <f>J14/O14</f>
        <v>7.7550032792191775E-2</v>
      </c>
    </row>
    <row r="15" spans="1:16" x14ac:dyDescent="0.4">
      <c r="A15" t="s">
        <v>5</v>
      </c>
      <c r="B15" s="18">
        <v>4.83</v>
      </c>
      <c r="C15" s="21">
        <v>0.626</v>
      </c>
      <c r="D15" s="8">
        <f>C15/C16</f>
        <v>2.2930402930402931E-2</v>
      </c>
      <c r="E15" s="13"/>
      <c r="F15" s="8"/>
      <c r="G15" s="6"/>
      <c r="H15" s="14"/>
      <c r="I15" s="6"/>
      <c r="J15" s="6"/>
      <c r="K15" s="6"/>
      <c r="L15" s="6"/>
      <c r="M15" s="6">
        <f>M14*1000</f>
        <v>0.90090090090090091</v>
      </c>
      <c r="N15" s="13"/>
      <c r="O15" s="14"/>
      <c r="P15" s="13"/>
    </row>
    <row r="16" spans="1:16" ht="15" thickBot="1" x14ac:dyDescent="0.45">
      <c r="A16" t="s">
        <v>4</v>
      </c>
      <c r="B16" s="20">
        <v>6.2119999999999997</v>
      </c>
      <c r="C16" s="16">
        <v>27.3</v>
      </c>
      <c r="D16" s="16"/>
      <c r="E16" s="24">
        <f>C16/(C15+C14+C16)</f>
        <v>2.1356054715307365E-2</v>
      </c>
      <c r="F16" s="16"/>
      <c r="G16" s="16"/>
      <c r="H16" s="27"/>
      <c r="I16" s="16"/>
      <c r="J16" s="16"/>
      <c r="K16" s="16"/>
      <c r="L16" s="16"/>
      <c r="M16" s="16"/>
      <c r="N16" s="17"/>
      <c r="O16" s="27"/>
      <c r="P16" s="17"/>
    </row>
    <row r="17" spans="1:19" s="1" customFormat="1" ht="15" thickBot="1" x14ac:dyDescent="0.45">
      <c r="A17" s="1" t="s">
        <v>56</v>
      </c>
    </row>
    <row r="18" spans="1:19" x14ac:dyDescent="0.4">
      <c r="A18" t="s">
        <v>0</v>
      </c>
      <c r="B18" s="9" t="s">
        <v>2</v>
      </c>
      <c r="C18" s="10" t="s">
        <v>1</v>
      </c>
      <c r="D18" s="10" t="s">
        <v>44</v>
      </c>
      <c r="E18" s="11" t="s">
        <v>48</v>
      </c>
      <c r="G18" s="38" t="s">
        <v>69</v>
      </c>
      <c r="H18" s="25" t="s">
        <v>70</v>
      </c>
      <c r="I18" s="29" t="s">
        <v>69</v>
      </c>
      <c r="J18" s="29" t="s">
        <v>45</v>
      </c>
      <c r="K18" s="26" t="s">
        <v>47</v>
      </c>
    </row>
    <row r="19" spans="1:19" x14ac:dyDescent="0.4">
      <c r="A19" t="s">
        <v>3</v>
      </c>
      <c r="B19" s="18">
        <v>3.14</v>
      </c>
      <c r="C19" s="21">
        <v>1153.4000000000001</v>
      </c>
      <c r="D19" s="8">
        <f>C19/C21</f>
        <v>44.879377431906619</v>
      </c>
      <c r="E19" s="23">
        <f>C20/(C19+C20)</f>
        <v>4.835531275834996E-4</v>
      </c>
      <c r="G19" s="39">
        <f>(D15-0.0135)/0.0051</f>
        <v>1.849098613804496</v>
      </c>
      <c r="H19" s="33">
        <f>((E14*1000)/1.1)</f>
        <v>0.454899345889621</v>
      </c>
      <c r="I19" s="32">
        <f>(H19/120.15)*1000</f>
        <v>3.7860952633343401</v>
      </c>
      <c r="J19" s="35">
        <f>AVERAGE(I19,I20)</f>
        <v>3.7224015740252057</v>
      </c>
      <c r="K19" s="13">
        <f>STDEV(I19,I20)</f>
        <v>9.0076479258556441E-2</v>
      </c>
    </row>
    <row r="20" spans="1:19" ht="15" thickBot="1" x14ac:dyDescent="0.45">
      <c r="A20" t="s">
        <v>5</v>
      </c>
      <c r="B20" s="18">
        <v>4.83</v>
      </c>
      <c r="C20" s="21">
        <v>0.55800000000000005</v>
      </c>
      <c r="D20" s="8">
        <f>C20/C21</f>
        <v>2.1712062256809342E-2</v>
      </c>
      <c r="E20" s="13"/>
      <c r="G20" s="39">
        <f>(D20-0.0135)/0.0051</f>
        <v>1.6102082856488904</v>
      </c>
      <c r="H20" s="36">
        <f>((E19*1000)/1.1)</f>
        <v>0.43959375234863596</v>
      </c>
      <c r="I20" s="37">
        <f>(H20/120.15)*1000</f>
        <v>3.6587078847160708</v>
      </c>
      <c r="J20" s="16"/>
      <c r="K20" s="17"/>
    </row>
    <row r="21" spans="1:19" ht="15" thickBot="1" x14ac:dyDescent="0.45">
      <c r="A21" t="s">
        <v>4</v>
      </c>
      <c r="B21" s="20">
        <v>6.2119999999999997</v>
      </c>
      <c r="C21" s="16">
        <v>25.7</v>
      </c>
      <c r="D21" s="16"/>
      <c r="E21" s="24">
        <f>C21/(C20+C19+C21)</f>
        <v>2.1785975257235569E-2</v>
      </c>
    </row>
    <row r="22" spans="1:19" s="4" customFormat="1" x14ac:dyDescent="0.4"/>
    <row r="23" spans="1:19" s="1" customFormat="1" ht="15" thickBot="1" x14ac:dyDescent="0.45">
      <c r="A23" s="1" t="s">
        <v>57</v>
      </c>
    </row>
    <row r="24" spans="1:19" x14ac:dyDescent="0.4">
      <c r="A24" t="s">
        <v>0</v>
      </c>
      <c r="B24" s="9" t="s">
        <v>2</v>
      </c>
      <c r="C24" s="10" t="s">
        <v>1</v>
      </c>
      <c r="D24" s="10" t="s">
        <v>44</v>
      </c>
      <c r="E24" s="11" t="s">
        <v>48</v>
      </c>
      <c r="F24" s="10" t="s">
        <v>45</v>
      </c>
      <c r="G24" s="11" t="s">
        <v>47</v>
      </c>
      <c r="H24" s="25" t="s">
        <v>70</v>
      </c>
      <c r="I24" s="26" t="s">
        <v>69</v>
      </c>
    </row>
    <row r="25" spans="1:19" x14ac:dyDescent="0.4">
      <c r="A25" t="s">
        <v>3</v>
      </c>
      <c r="B25" s="18">
        <v>3.14</v>
      </c>
      <c r="C25" s="6">
        <v>1149.7</v>
      </c>
      <c r="D25" s="8">
        <f>C25/C27</f>
        <v>44.735408560311285</v>
      </c>
      <c r="E25" s="23">
        <f>C26/(C25+C26)</f>
        <v>0</v>
      </c>
      <c r="F25" s="7">
        <f>AVERAGE(E25,E30)</f>
        <v>0</v>
      </c>
      <c r="G25" s="13">
        <f>STDEV(E25,E30)</f>
        <v>0</v>
      </c>
      <c r="H25" s="14">
        <f>((F25*1000)/1.1)</f>
        <v>0</v>
      </c>
      <c r="I25" s="13">
        <f>(H25/120.15)*1000</f>
        <v>0</v>
      </c>
      <c r="P25" t="s">
        <v>424</v>
      </c>
      <c r="Q25" s="38"/>
      <c r="R25" s="38" t="s">
        <v>78</v>
      </c>
      <c r="S25" s="38" t="s">
        <v>47</v>
      </c>
    </row>
    <row r="26" spans="1:19" x14ac:dyDescent="0.4">
      <c r="A26" t="s">
        <v>5</v>
      </c>
      <c r="B26" s="18">
        <v>4.83</v>
      </c>
      <c r="C26" s="6">
        <v>0</v>
      </c>
      <c r="D26" s="8">
        <f>C26/C27</f>
        <v>0</v>
      </c>
      <c r="E26" s="13"/>
      <c r="F26" s="8"/>
      <c r="G26" s="13"/>
      <c r="H26" s="14"/>
      <c r="I26" s="13"/>
      <c r="P26">
        <f>((0.2*0.1*0.185)/0.5/44400)*1000*1000</f>
        <v>0.16666666666666671</v>
      </c>
      <c r="Q26" s="38" t="s">
        <v>404</v>
      </c>
      <c r="R26" s="39">
        <f>J19</f>
        <v>3.7224015740252057</v>
      </c>
      <c r="S26" s="38">
        <f>K19</f>
        <v>9.0076479258556441E-2</v>
      </c>
    </row>
    <row r="27" spans="1:19" ht="15" thickBot="1" x14ac:dyDescent="0.45">
      <c r="A27" t="s">
        <v>4</v>
      </c>
      <c r="B27" s="20">
        <v>6.2119999999999997</v>
      </c>
      <c r="C27" s="16">
        <v>25.7</v>
      </c>
      <c r="D27" s="16"/>
      <c r="E27" s="24">
        <f>C27/(C26+C25+C27)</f>
        <v>2.1864897056321251E-2</v>
      </c>
      <c r="F27" s="16"/>
      <c r="G27" s="17"/>
      <c r="H27" s="27"/>
      <c r="I27" s="17"/>
      <c r="P27">
        <f>((0.2*0.1*0.185)/0.5/44400)*1000*1000</f>
        <v>0.16666666666666671</v>
      </c>
      <c r="Q27" s="38" t="s">
        <v>404</v>
      </c>
      <c r="R27" s="39">
        <f>J61</f>
        <v>15.39482115710522</v>
      </c>
      <c r="S27" s="38">
        <f>K61</f>
        <v>0.1529381044982229</v>
      </c>
    </row>
    <row r="28" spans="1:19" s="1" customFormat="1" ht="15" thickBot="1" x14ac:dyDescent="0.45">
      <c r="A28" s="1" t="s">
        <v>58</v>
      </c>
      <c r="P28" s="1">
        <f>((((7/1000)*2.86)/0.5)/44400)*1000*1000</f>
        <v>0.90180180180180169</v>
      </c>
      <c r="Q28" s="38" t="s">
        <v>407</v>
      </c>
      <c r="R28" s="39">
        <f>J40</f>
        <v>7.5183157158601794</v>
      </c>
      <c r="S28" s="38">
        <f>K40</f>
        <v>0.54041487924815013</v>
      </c>
    </row>
    <row r="29" spans="1:19" x14ac:dyDescent="0.4">
      <c r="A29" t="s">
        <v>0</v>
      </c>
      <c r="B29" s="9" t="s">
        <v>2</v>
      </c>
      <c r="C29" s="10" t="s">
        <v>1</v>
      </c>
      <c r="D29" s="10" t="s">
        <v>44</v>
      </c>
      <c r="E29" s="11" t="s">
        <v>48</v>
      </c>
      <c r="G29" s="38" t="s">
        <v>69</v>
      </c>
      <c r="P29">
        <f>((((7/1000)*2.86)/0.5)/44400)*1000*1000</f>
        <v>0.90180180180180169</v>
      </c>
      <c r="Q29" s="38" t="s">
        <v>407</v>
      </c>
      <c r="R29" s="39">
        <f>J82</f>
        <v>30.132863427831388</v>
      </c>
      <c r="S29" s="38">
        <f>K82</f>
        <v>1.4710123071366794</v>
      </c>
    </row>
    <row r="30" spans="1:19" x14ac:dyDescent="0.4">
      <c r="A30" t="s">
        <v>3</v>
      </c>
      <c r="B30" s="18">
        <v>3.14</v>
      </c>
      <c r="C30" s="21">
        <v>1075.5</v>
      </c>
      <c r="D30" s="8">
        <f>C30/C32</f>
        <v>44.25925925925926</v>
      </c>
      <c r="E30" s="23">
        <f>C31/(C30+C31)</f>
        <v>0</v>
      </c>
      <c r="G30" s="39">
        <v>0</v>
      </c>
      <c r="Q30" s="38"/>
      <c r="R30" s="38"/>
      <c r="S30" s="38"/>
    </row>
    <row r="31" spans="1:19" x14ac:dyDescent="0.4">
      <c r="A31" t="s">
        <v>5</v>
      </c>
      <c r="B31" s="18">
        <v>4.83</v>
      </c>
      <c r="C31" s="21">
        <v>0</v>
      </c>
      <c r="D31" s="8">
        <f>C31/C32</f>
        <v>0</v>
      </c>
      <c r="E31" s="13"/>
      <c r="G31" s="39">
        <v>0</v>
      </c>
    </row>
    <row r="32" spans="1:19" ht="15" thickBot="1" x14ac:dyDescent="0.45">
      <c r="A32" t="s">
        <v>4</v>
      </c>
      <c r="B32" s="20">
        <v>6.2119999999999997</v>
      </c>
      <c r="C32" s="16">
        <v>24.3</v>
      </c>
      <c r="D32" s="16"/>
      <c r="E32" s="24">
        <f>C32/(C31+C30+C32)</f>
        <v>2.20949263502455E-2</v>
      </c>
    </row>
    <row r="33" spans="1:16" s="1" customFormat="1" ht="15" thickBot="1" x14ac:dyDescent="0.45">
      <c r="A33" s="1" t="s">
        <v>59</v>
      </c>
    </row>
    <row r="34" spans="1:16" x14ac:dyDescent="0.4">
      <c r="A34" t="s">
        <v>0</v>
      </c>
      <c r="B34" s="9" t="s">
        <v>2</v>
      </c>
      <c r="C34" s="10" t="s">
        <v>1</v>
      </c>
      <c r="D34" s="10" t="s">
        <v>44</v>
      </c>
      <c r="E34" s="11" t="s">
        <v>48</v>
      </c>
      <c r="F34" s="10" t="s">
        <v>45</v>
      </c>
      <c r="G34" s="11" t="s">
        <v>47</v>
      </c>
      <c r="H34" s="25" t="s">
        <v>70</v>
      </c>
      <c r="I34" s="29" t="s">
        <v>69</v>
      </c>
      <c r="J34" s="10" t="s">
        <v>71</v>
      </c>
      <c r="K34" s="10" t="s">
        <v>72</v>
      </c>
      <c r="L34" s="10" t="s">
        <v>73</v>
      </c>
      <c r="M34" s="10" t="s">
        <v>76</v>
      </c>
      <c r="N34" s="11" t="s">
        <v>77</v>
      </c>
      <c r="O34" s="21"/>
      <c r="P34" s="21"/>
    </row>
    <row r="35" spans="1:16" x14ac:dyDescent="0.4">
      <c r="A35" t="s">
        <v>3</v>
      </c>
      <c r="B35" s="18">
        <v>3.14</v>
      </c>
      <c r="C35" s="21">
        <v>1193.8</v>
      </c>
      <c r="D35" s="8">
        <f>C35/C37</f>
        <v>45.91538461538461</v>
      </c>
      <c r="E35" s="23">
        <f>C36/(C35+C36)</f>
        <v>9.4315384956570572E-4</v>
      </c>
      <c r="F35" s="7">
        <f>AVERAGE(E35,E40)</f>
        <v>9.9365819658666071E-4</v>
      </c>
      <c r="G35" s="13">
        <f>STDEV(E35,E40)</f>
        <v>7.1423932515831911E-5</v>
      </c>
      <c r="H35" s="33">
        <f>((F35*1000)/1.1)</f>
        <v>0.90332563326060056</v>
      </c>
      <c r="I35" s="32">
        <f>(H35/120.15)*1000</f>
        <v>7.5183157158601785</v>
      </c>
      <c r="J35" s="31">
        <f>I35*1000/120</f>
        <v>62.652630965501494</v>
      </c>
      <c r="K35" s="28">
        <f>(20/500)*1000</f>
        <v>40</v>
      </c>
      <c r="L35" s="31">
        <f>J35/K35</f>
        <v>1.5663157741375373</v>
      </c>
      <c r="M35" s="30">
        <f>K35/44400</f>
        <v>9.0090090090090091E-4</v>
      </c>
      <c r="N35" s="40">
        <f>(I35/M35)</f>
        <v>8345.3304446047987</v>
      </c>
      <c r="O35" s="6"/>
      <c r="P35" s="6"/>
    </row>
    <row r="36" spans="1:16" x14ac:dyDescent="0.4">
      <c r="A36" t="s">
        <v>5</v>
      </c>
      <c r="B36" s="18">
        <v>4.83</v>
      </c>
      <c r="C36" s="21">
        <v>1.127</v>
      </c>
      <c r="D36" s="8">
        <f>C36/C37</f>
        <v>4.3346153846153847E-2</v>
      </c>
      <c r="E36" s="13"/>
      <c r="F36" s="8"/>
      <c r="G36" s="13"/>
      <c r="H36" s="14"/>
      <c r="I36" s="6"/>
      <c r="J36" s="6"/>
      <c r="K36" s="6" t="s">
        <v>105</v>
      </c>
      <c r="L36" s="6"/>
      <c r="M36" s="6"/>
      <c r="N36" s="13"/>
      <c r="O36" s="6"/>
      <c r="P36" s="6"/>
    </row>
    <row r="37" spans="1:16" ht="15" thickBot="1" x14ac:dyDescent="0.45">
      <c r="A37" t="s">
        <v>4</v>
      </c>
      <c r="B37" s="20">
        <v>6.2119999999999997</v>
      </c>
      <c r="C37" s="16">
        <v>26</v>
      </c>
      <c r="D37" s="16"/>
      <c r="E37" s="24">
        <f>C37/(C36+C35+C37)</f>
        <v>2.129529447706538E-2</v>
      </c>
      <c r="F37" s="16"/>
      <c r="G37" s="17"/>
      <c r="H37" s="27"/>
      <c r="I37" s="16"/>
      <c r="J37" s="16"/>
      <c r="K37" s="16"/>
      <c r="L37" s="16"/>
      <c r="M37" s="16"/>
      <c r="N37" s="17"/>
      <c r="O37" s="6"/>
      <c r="P37" s="6"/>
    </row>
    <row r="38" spans="1:16" s="1" customFormat="1" ht="15" thickBot="1" x14ac:dyDescent="0.45">
      <c r="A38" s="1" t="s">
        <v>60</v>
      </c>
    </row>
    <row r="39" spans="1:16" x14ac:dyDescent="0.4">
      <c r="A39" t="s">
        <v>0</v>
      </c>
      <c r="B39" s="9" t="s">
        <v>2</v>
      </c>
      <c r="C39" s="10" t="s">
        <v>1</v>
      </c>
      <c r="D39" s="10" t="s">
        <v>44</v>
      </c>
      <c r="E39" s="11" t="s">
        <v>48</v>
      </c>
      <c r="G39" s="38" t="s">
        <v>69</v>
      </c>
      <c r="H39" s="25" t="s">
        <v>70</v>
      </c>
      <c r="I39" s="29" t="s">
        <v>69</v>
      </c>
      <c r="J39" s="29" t="s">
        <v>45</v>
      </c>
      <c r="K39" s="26" t="s">
        <v>47</v>
      </c>
    </row>
    <row r="40" spans="1:16" x14ac:dyDescent="0.4">
      <c r="A40" t="s">
        <v>3</v>
      </c>
      <c r="B40" s="18">
        <v>3.14</v>
      </c>
      <c r="C40" s="21">
        <v>1155.7</v>
      </c>
      <c r="D40" s="8">
        <f>C40/C42</f>
        <v>45.679841897233203</v>
      </c>
      <c r="E40" s="23">
        <f>C41/(C40+C41)</f>
        <v>1.0441625436076159E-3</v>
      </c>
      <c r="G40" s="39">
        <f>(D36-0.0135)/0.0051</f>
        <v>5.8521870286576165</v>
      </c>
      <c r="H40" s="33">
        <f>((E35*1000)/1.1)</f>
        <v>0.85741259051427787</v>
      </c>
      <c r="I40" s="32">
        <f>(H40/120.15)*1000</f>
        <v>7.1361846900897037</v>
      </c>
      <c r="J40" s="35">
        <f>AVERAGE(I40,I41)</f>
        <v>7.5183157158601794</v>
      </c>
      <c r="K40" s="13">
        <f>STDEV(I40,I41)</f>
        <v>0.54041487924815013</v>
      </c>
    </row>
    <row r="41" spans="1:16" ht="15" thickBot="1" x14ac:dyDescent="0.45">
      <c r="A41" t="s">
        <v>5</v>
      </c>
      <c r="B41" s="18">
        <v>4.83</v>
      </c>
      <c r="C41" s="21">
        <v>1.208</v>
      </c>
      <c r="D41" s="8">
        <f>C41/C42</f>
        <v>4.7747035573122529E-2</v>
      </c>
      <c r="E41" s="13"/>
      <c r="G41" s="39">
        <f>(D41-0.0135)/0.0051</f>
        <v>6.7151050143377509</v>
      </c>
      <c r="H41" s="36">
        <f>((E40*1000)/1.1)</f>
        <v>0.94923867600692347</v>
      </c>
      <c r="I41" s="37">
        <f>(H41/120.15)*1000</f>
        <v>7.9004467416306561</v>
      </c>
      <c r="J41" s="16"/>
      <c r="K41" s="17"/>
    </row>
    <row r="42" spans="1:16" ht="15" thickBot="1" x14ac:dyDescent="0.45">
      <c r="A42" t="s">
        <v>4</v>
      </c>
      <c r="B42" s="20">
        <v>6.2119999999999997</v>
      </c>
      <c r="C42" s="16">
        <v>25.3</v>
      </c>
      <c r="D42" s="16"/>
      <c r="E42" s="24">
        <f>C42/(C41+C40+C42)</f>
        <v>2.1400633391078387E-2</v>
      </c>
    </row>
    <row r="43" spans="1:16" s="4" customFormat="1" x14ac:dyDescent="0.4"/>
    <row r="44" spans="1:16" s="1" customFormat="1" ht="15" thickBot="1" x14ac:dyDescent="0.45">
      <c r="A44" s="1" t="s">
        <v>61</v>
      </c>
    </row>
    <row r="45" spans="1:16" x14ac:dyDescent="0.4">
      <c r="A45" t="s">
        <v>0</v>
      </c>
      <c r="B45" s="9" t="s">
        <v>2</v>
      </c>
      <c r="C45" s="10" t="s">
        <v>1</v>
      </c>
      <c r="D45" s="10" t="s">
        <v>44</v>
      </c>
      <c r="E45" s="11" t="s">
        <v>48</v>
      </c>
      <c r="F45" s="10" t="s">
        <v>45</v>
      </c>
      <c r="G45" s="11" t="s">
        <v>47</v>
      </c>
      <c r="H45" s="25" t="s">
        <v>70</v>
      </c>
      <c r="I45" s="26" t="s">
        <v>69</v>
      </c>
    </row>
    <row r="46" spans="1:16" x14ac:dyDescent="0.4">
      <c r="A46" t="s">
        <v>3</v>
      </c>
      <c r="B46" s="18">
        <v>3.14</v>
      </c>
      <c r="C46" s="6">
        <v>1586.8</v>
      </c>
      <c r="D46" s="8">
        <f>C46/C48</f>
        <v>43.119565217391305</v>
      </c>
      <c r="E46" s="23">
        <f>C47/(C46+C47)</f>
        <v>9.45209363874098E-5</v>
      </c>
      <c r="F46" s="7">
        <f>AVERAGE(E46,E51)</f>
        <v>1.1514913078705181E-4</v>
      </c>
      <c r="G46" s="13">
        <f>STDEV(E46,E51)</f>
        <v>2.9172672287242458E-5</v>
      </c>
      <c r="H46" s="14">
        <f>((F46*1000)/1.1)</f>
        <v>0.1046810279882289</v>
      </c>
      <c r="I46" s="13">
        <f>(H46/120.15)*1000</f>
        <v>0.87125283385958296</v>
      </c>
    </row>
    <row r="47" spans="1:16" x14ac:dyDescent="0.4">
      <c r="A47" t="s">
        <v>5</v>
      </c>
      <c r="B47" s="18">
        <v>4.83</v>
      </c>
      <c r="C47" s="6">
        <v>0.15</v>
      </c>
      <c r="D47" s="8">
        <f>C47/C48</f>
        <v>4.076086956521739E-3</v>
      </c>
      <c r="E47" s="13"/>
      <c r="F47" s="8"/>
      <c r="G47" s="13"/>
      <c r="H47" s="14"/>
      <c r="I47" s="13"/>
    </row>
    <row r="48" spans="1:16" ht="15" thickBot="1" x14ac:dyDescent="0.45">
      <c r="A48" t="s">
        <v>4</v>
      </c>
      <c r="B48" s="20">
        <v>6.2119999999999997</v>
      </c>
      <c r="C48" s="16">
        <v>36.799999999999997</v>
      </c>
      <c r="D48" s="16"/>
      <c r="E48" s="24">
        <f>C48/(C47+C46+C48)</f>
        <v>2.266358737490377E-2</v>
      </c>
      <c r="F48" s="16"/>
      <c r="G48" s="17"/>
      <c r="H48" s="27"/>
      <c r="I48" s="17"/>
    </row>
    <row r="49" spans="1:16" s="1" customFormat="1" ht="15" thickBot="1" x14ac:dyDescent="0.45">
      <c r="A49" s="1" t="s">
        <v>62</v>
      </c>
    </row>
    <row r="50" spans="1:16" x14ac:dyDescent="0.4">
      <c r="A50" t="s">
        <v>0</v>
      </c>
      <c r="B50" s="9" t="s">
        <v>2</v>
      </c>
      <c r="C50" s="10" t="s">
        <v>1</v>
      </c>
      <c r="D50" s="10" t="s">
        <v>44</v>
      </c>
      <c r="E50" s="11" t="s">
        <v>48</v>
      </c>
      <c r="G50" s="38" t="s">
        <v>69</v>
      </c>
    </row>
    <row r="51" spans="1:16" x14ac:dyDescent="0.4">
      <c r="A51" t="s">
        <v>3</v>
      </c>
      <c r="B51" s="18">
        <v>3.14</v>
      </c>
      <c r="C51" s="21">
        <v>1104.5999999999999</v>
      </c>
      <c r="D51" s="8">
        <f>C51/C53</f>
        <v>43.317647058823525</v>
      </c>
      <c r="E51" s="23">
        <f>C52/(C51+C52)</f>
        <v>1.3577732518669383E-4</v>
      </c>
      <c r="G51" s="39">
        <v>0</v>
      </c>
    </row>
    <row r="52" spans="1:16" x14ac:dyDescent="0.4">
      <c r="A52" t="s">
        <v>5</v>
      </c>
      <c r="B52" s="18">
        <v>4.83</v>
      </c>
      <c r="C52" s="21">
        <v>0.15</v>
      </c>
      <c r="D52" s="8">
        <f>C52/C53</f>
        <v>5.8823529411764705E-3</v>
      </c>
      <c r="E52" s="13"/>
      <c r="G52" s="39">
        <v>0</v>
      </c>
    </row>
    <row r="53" spans="1:16" ht="15" thickBot="1" x14ac:dyDescent="0.45">
      <c r="A53" t="s">
        <v>4</v>
      </c>
      <c r="B53" s="20">
        <v>6.2119999999999997</v>
      </c>
      <c r="C53" s="16">
        <v>25.5</v>
      </c>
      <c r="D53" s="16"/>
      <c r="E53" s="24">
        <f>C53/(C52+C51+C53)</f>
        <v>2.2561380225613801E-2</v>
      </c>
    </row>
    <row r="54" spans="1:16" s="1" customFormat="1" ht="15" thickBot="1" x14ac:dyDescent="0.45">
      <c r="A54" s="1" t="s">
        <v>63</v>
      </c>
    </row>
    <row r="55" spans="1:16" x14ac:dyDescent="0.4">
      <c r="A55" t="s">
        <v>0</v>
      </c>
      <c r="B55" s="9" t="s">
        <v>2</v>
      </c>
      <c r="C55" s="10" t="s">
        <v>1</v>
      </c>
      <c r="D55" s="10" t="s">
        <v>44</v>
      </c>
      <c r="E55" s="11" t="s">
        <v>48</v>
      </c>
      <c r="F55" s="10" t="s">
        <v>45</v>
      </c>
      <c r="G55" s="11" t="s">
        <v>47</v>
      </c>
      <c r="H55" s="25" t="s">
        <v>70</v>
      </c>
      <c r="I55" s="29" t="s">
        <v>69</v>
      </c>
      <c r="J55" s="10" t="s">
        <v>71</v>
      </c>
      <c r="K55" s="10" t="s">
        <v>72</v>
      </c>
      <c r="L55" s="10" t="s">
        <v>73</v>
      </c>
      <c r="M55" s="10" t="s">
        <v>76</v>
      </c>
      <c r="N55" s="11" t="s">
        <v>77</v>
      </c>
      <c r="O55" s="25" t="s">
        <v>75</v>
      </c>
      <c r="P55" s="26" t="s">
        <v>74</v>
      </c>
    </row>
    <row r="56" spans="1:16" x14ac:dyDescent="0.4">
      <c r="A56" t="s">
        <v>3</v>
      </c>
      <c r="B56" s="18">
        <v>3.14</v>
      </c>
      <c r="C56" s="21">
        <v>2568.1</v>
      </c>
      <c r="D56" s="8">
        <f>C56/C58</f>
        <v>46.023297491039429</v>
      </c>
      <c r="E56" s="23">
        <f>C57/(C56+C57)</f>
        <v>2.0203637431950193E-3</v>
      </c>
      <c r="F56" s="7">
        <f>AVERAGE(E56,E61)</f>
        <v>2.0346565382288115E-3</v>
      </c>
      <c r="G56" s="13">
        <f>STDEV(E56,E61)</f>
        <v>2.0213064581007779E-5</v>
      </c>
      <c r="H56" s="33">
        <f>((F56*1000)/1.1)</f>
        <v>1.849687762026192</v>
      </c>
      <c r="I56" s="32">
        <f>(H56/120.15)*1000</f>
        <v>15.394821157105218</v>
      </c>
      <c r="J56" s="31">
        <f>I56*1000/120</f>
        <v>128.29017630921015</v>
      </c>
      <c r="K56" s="28">
        <f>(20/500)*1000</f>
        <v>40</v>
      </c>
      <c r="L56" s="31">
        <f>J56/K56</f>
        <v>3.2072544077302538</v>
      </c>
      <c r="M56" s="30">
        <f>K56/44400</f>
        <v>9.0090090090090091E-4</v>
      </c>
      <c r="N56" s="40">
        <f>(I56/M56)</f>
        <v>17088.25148438679</v>
      </c>
      <c r="O56" s="14">
        <f>200/0.5</f>
        <v>400</v>
      </c>
      <c r="P56" s="13">
        <f>J56/O56</f>
        <v>0.32072544077302539</v>
      </c>
    </row>
    <row r="57" spans="1:16" x14ac:dyDescent="0.4">
      <c r="A57" t="s">
        <v>5</v>
      </c>
      <c r="B57" s="18">
        <v>4.83</v>
      </c>
      <c r="C57" s="21">
        <v>5.1989999999999998</v>
      </c>
      <c r="D57" s="8">
        <f>C57/C58</f>
        <v>9.3172043010752686E-2</v>
      </c>
      <c r="E57" s="13"/>
      <c r="F57" s="8"/>
      <c r="G57" s="13"/>
      <c r="H57" s="14"/>
      <c r="I57" s="6"/>
      <c r="J57" s="6"/>
      <c r="K57" s="6"/>
      <c r="L57" s="6"/>
      <c r="M57" s="6"/>
      <c r="N57" s="13"/>
      <c r="O57" s="14"/>
      <c r="P57" s="13"/>
    </row>
    <row r="58" spans="1:16" ht="15" thickBot="1" x14ac:dyDescent="0.45">
      <c r="A58" t="s">
        <v>4</v>
      </c>
      <c r="B58" s="20">
        <v>6.2119999999999997</v>
      </c>
      <c r="C58" s="16">
        <v>55.8</v>
      </c>
      <c r="D58" s="16"/>
      <c r="E58" s="24">
        <f>C58/(C57+C56+C58)</f>
        <v>2.1224001074132238E-2</v>
      </c>
      <c r="F58" s="16"/>
      <c r="G58" s="17"/>
      <c r="H58" s="27"/>
      <c r="I58" s="16"/>
      <c r="J58" s="16"/>
      <c r="K58" s="16"/>
      <c r="L58" s="16"/>
      <c r="M58" s="16"/>
      <c r="N58" s="17"/>
      <c r="O58" s="27"/>
      <c r="P58" s="17"/>
    </row>
    <row r="59" spans="1:16" s="1" customFormat="1" ht="15" thickBot="1" x14ac:dyDescent="0.45">
      <c r="A59" s="1" t="s">
        <v>64</v>
      </c>
    </row>
    <row r="60" spans="1:16" x14ac:dyDescent="0.4">
      <c r="A60" t="s">
        <v>0</v>
      </c>
      <c r="B60" s="9" t="s">
        <v>2</v>
      </c>
      <c r="C60" s="10" t="s">
        <v>1</v>
      </c>
      <c r="D60" s="10" t="s">
        <v>44</v>
      </c>
      <c r="E60" s="11" t="s">
        <v>48</v>
      </c>
      <c r="G60" s="38" t="s">
        <v>69</v>
      </c>
      <c r="H60" s="25" t="s">
        <v>70</v>
      </c>
      <c r="I60" s="29" t="s">
        <v>69</v>
      </c>
      <c r="J60" s="29" t="s">
        <v>45</v>
      </c>
      <c r="K60" s="26" t="s">
        <v>47</v>
      </c>
    </row>
    <row r="61" spans="1:16" x14ac:dyDescent="0.4">
      <c r="A61" t="s">
        <v>3</v>
      </c>
      <c r="B61" s="18">
        <v>3.14</v>
      </c>
      <c r="C61" s="21">
        <v>2408</v>
      </c>
      <c r="D61" s="8">
        <f>C61/C63</f>
        <v>45.866666666666667</v>
      </c>
      <c r="E61" s="23">
        <f>C62/(C61+C62)</f>
        <v>2.0489493332626037E-3</v>
      </c>
      <c r="G61" s="39">
        <f>(D57-0.0135)/0.0051</f>
        <v>15.621969217794645</v>
      </c>
      <c r="H61" s="33">
        <f>((E56*1000)/1.1)</f>
        <v>1.8366943119954722</v>
      </c>
      <c r="I61" s="32">
        <f>(H61/120.15)*1000</f>
        <v>15.28667758631271</v>
      </c>
      <c r="J61" s="35">
        <f>AVERAGE(I61,I62)</f>
        <v>15.39482115710522</v>
      </c>
      <c r="K61" s="13">
        <f>STDEV(I61,I62)</f>
        <v>0.1529381044982229</v>
      </c>
    </row>
    <row r="62" spans="1:16" ht="15" thickBot="1" x14ac:dyDescent="0.45">
      <c r="A62" t="s">
        <v>5</v>
      </c>
      <c r="B62" s="18">
        <v>4.83</v>
      </c>
      <c r="C62" s="21">
        <v>4.944</v>
      </c>
      <c r="D62" s="8">
        <f>C62/C63</f>
        <v>9.4171428571428573E-2</v>
      </c>
      <c r="E62" s="13"/>
      <c r="G62" s="39">
        <f>(D62-0.0135)/0.0051</f>
        <v>15.817927170868346</v>
      </c>
      <c r="H62" s="36">
        <f>((E61*1000)/1.1)</f>
        <v>1.8626812120569123</v>
      </c>
      <c r="I62" s="37">
        <f>(H62/120.15)*1000</f>
        <v>15.50296472789773</v>
      </c>
      <c r="J62" s="16"/>
      <c r="K62" s="17"/>
    </row>
    <row r="63" spans="1:16" ht="15" thickBot="1" x14ac:dyDescent="0.45">
      <c r="A63" t="s">
        <v>4</v>
      </c>
      <c r="B63" s="20">
        <v>6.2119999999999997</v>
      </c>
      <c r="C63" s="16">
        <v>52.5</v>
      </c>
      <c r="D63" s="16"/>
      <c r="E63" s="24">
        <f>C63/(C62+C61+C63)</f>
        <v>2.1294338869591034E-2</v>
      </c>
    </row>
    <row r="64" spans="1:16" s="4" customFormat="1" x14ac:dyDescent="0.4"/>
    <row r="65" spans="1:14" s="1" customFormat="1" ht="15" thickBot="1" x14ac:dyDescent="0.45">
      <c r="A65" s="1" t="s">
        <v>65</v>
      </c>
    </row>
    <row r="66" spans="1:14" x14ac:dyDescent="0.4">
      <c r="A66" t="s">
        <v>0</v>
      </c>
      <c r="B66" s="9" t="s">
        <v>2</v>
      </c>
      <c r="C66" s="10" t="s">
        <v>1</v>
      </c>
      <c r="D66" s="10" t="s">
        <v>44</v>
      </c>
      <c r="E66" s="11" t="s">
        <v>48</v>
      </c>
      <c r="F66" s="10" t="s">
        <v>45</v>
      </c>
      <c r="G66" s="11" t="s">
        <v>47</v>
      </c>
      <c r="H66" s="25" t="s">
        <v>70</v>
      </c>
      <c r="I66" s="26" t="s">
        <v>69</v>
      </c>
    </row>
    <row r="67" spans="1:14" x14ac:dyDescent="0.4">
      <c r="A67" t="s">
        <v>3</v>
      </c>
      <c r="B67" s="18">
        <v>3.14</v>
      </c>
      <c r="C67" s="6">
        <v>2052.9</v>
      </c>
      <c r="D67" s="8">
        <f>C67/C69</f>
        <v>45.019736842105267</v>
      </c>
      <c r="E67" s="23">
        <f>C68/(C67+C68)</f>
        <v>6.8441605096806405E-4</v>
      </c>
      <c r="F67" s="7">
        <f>AVERAGE(E67,E72)</f>
        <v>4.7989541040085489E-4</v>
      </c>
      <c r="G67" s="13">
        <f>STDEV(E67,E72)</f>
        <v>2.8923586367538023E-4</v>
      </c>
      <c r="H67" s="14">
        <f>((F67*1000)/1.1)</f>
        <v>0.43626855490986804</v>
      </c>
      <c r="I67" s="13">
        <f>(H67/120.15)*1000</f>
        <v>3.6310325002902042</v>
      </c>
    </row>
    <row r="68" spans="1:14" x14ac:dyDescent="0.4">
      <c r="A68" t="s">
        <v>5</v>
      </c>
      <c r="B68" s="18">
        <v>4.83</v>
      </c>
      <c r="C68" s="6">
        <v>1.4059999999999999</v>
      </c>
      <c r="D68" s="8">
        <f>C68/C69</f>
        <v>3.0833333333333331E-2</v>
      </c>
      <c r="E68" s="13"/>
      <c r="F68" s="8"/>
      <c r="G68" s="13"/>
      <c r="H68" s="14"/>
      <c r="I68" s="13"/>
    </row>
    <row r="69" spans="1:14" ht="15" thickBot="1" x14ac:dyDescent="0.45">
      <c r="A69" t="s">
        <v>4</v>
      </c>
      <c r="B69" s="20">
        <v>6.2119999999999997</v>
      </c>
      <c r="C69" s="16">
        <v>45.6</v>
      </c>
      <c r="D69" s="16"/>
      <c r="E69" s="24">
        <f>C69/(C68+C67+C69)</f>
        <v>2.1715257730584133E-2</v>
      </c>
      <c r="F69" s="16"/>
      <c r="G69" s="17"/>
      <c r="H69" s="27"/>
      <c r="I69" s="17"/>
    </row>
    <row r="70" spans="1:14" s="1" customFormat="1" ht="15" thickBot="1" x14ac:dyDescent="0.45">
      <c r="A70" s="1" t="s">
        <v>66</v>
      </c>
    </row>
    <row r="71" spans="1:14" x14ac:dyDescent="0.4">
      <c r="A71" t="s">
        <v>0</v>
      </c>
      <c r="B71" s="9" t="s">
        <v>2</v>
      </c>
      <c r="C71" s="10" t="s">
        <v>1</v>
      </c>
      <c r="D71" s="10" t="s">
        <v>44</v>
      </c>
      <c r="E71" s="11" t="s">
        <v>48</v>
      </c>
      <c r="G71" s="38" t="s">
        <v>69</v>
      </c>
    </row>
    <row r="72" spans="1:14" x14ac:dyDescent="0.4">
      <c r="A72" t="s">
        <v>3</v>
      </c>
      <c r="B72" s="18">
        <v>3.14</v>
      </c>
      <c r="C72" s="21">
        <v>787.8</v>
      </c>
      <c r="D72" s="8">
        <f>C72/C74</f>
        <v>44.258426966292127</v>
      </c>
      <c r="E72" s="23">
        <f>C73/(C72+C73)</f>
        <v>2.7537476983364572E-4</v>
      </c>
      <c r="G72" s="39">
        <f>(D68-0.0135)/0.0051</f>
        <v>3.3986928104575158</v>
      </c>
    </row>
    <row r="73" spans="1:14" x14ac:dyDescent="0.4">
      <c r="A73" t="s">
        <v>5</v>
      </c>
      <c r="B73" s="18">
        <v>4.83</v>
      </c>
      <c r="C73" s="21">
        <v>0.217</v>
      </c>
      <c r="D73" s="8">
        <f>C73/C74</f>
        <v>1.2191011235955056E-2</v>
      </c>
      <c r="E73" s="13"/>
      <c r="G73" s="39">
        <v>0</v>
      </c>
    </row>
    <row r="74" spans="1:14" ht="15" thickBot="1" x14ac:dyDescent="0.45">
      <c r="A74" t="s">
        <v>4</v>
      </c>
      <c r="B74" s="20">
        <v>6.2119999999999997</v>
      </c>
      <c r="C74" s="16">
        <v>17.8</v>
      </c>
      <c r="D74" s="16"/>
      <c r="E74" s="24">
        <f>C74/(C73+C72+C74)</f>
        <v>2.2089382576937447E-2</v>
      </c>
    </row>
    <row r="75" spans="1:14" s="1" customFormat="1" ht="15" thickBot="1" x14ac:dyDescent="0.45">
      <c r="A75" s="1" t="s">
        <v>67</v>
      </c>
    </row>
    <row r="76" spans="1:14" x14ac:dyDescent="0.4">
      <c r="A76" t="s">
        <v>0</v>
      </c>
      <c r="B76" s="9" t="s">
        <v>2</v>
      </c>
      <c r="C76" s="10" t="s">
        <v>1</v>
      </c>
      <c r="D76" s="10" t="s">
        <v>44</v>
      </c>
      <c r="E76" s="11" t="s">
        <v>48</v>
      </c>
      <c r="F76" s="10" t="s">
        <v>45</v>
      </c>
      <c r="G76" s="11" t="s">
        <v>47</v>
      </c>
      <c r="H76" s="25" t="s">
        <v>70</v>
      </c>
      <c r="I76" s="29" t="s">
        <v>69</v>
      </c>
      <c r="J76" s="10" t="s">
        <v>71</v>
      </c>
      <c r="K76" s="10" t="s">
        <v>72</v>
      </c>
      <c r="L76" s="10" t="s">
        <v>73</v>
      </c>
      <c r="M76" s="10" t="s">
        <v>76</v>
      </c>
      <c r="N76" s="11" t="s">
        <v>77</v>
      </c>
    </row>
    <row r="77" spans="1:14" x14ac:dyDescent="0.4">
      <c r="A77" t="s">
        <v>3</v>
      </c>
      <c r="B77" s="18">
        <v>3.14</v>
      </c>
      <c r="C77" s="21">
        <v>2328</v>
      </c>
      <c r="D77" s="8">
        <f>C77/C79</f>
        <v>46.007905138339922</v>
      </c>
      <c r="E77" s="23">
        <f>C78/(C77+C78)</f>
        <v>4.1199830084388857E-3</v>
      </c>
      <c r="F77" s="7">
        <f>AVERAGE(E77,E82)</f>
        <v>3.9825098949393357E-3</v>
      </c>
      <c r="G77" s="13">
        <f>STDEV(E77,E82)</f>
        <v>1.944163415727194E-4</v>
      </c>
      <c r="H77" s="33">
        <f>((F77*1000)/1.1)</f>
        <v>3.6204635408539412</v>
      </c>
      <c r="I77" s="32">
        <f>(H77/120.15)*1000</f>
        <v>30.132863427831385</v>
      </c>
      <c r="J77" s="31">
        <f>I77*1000/120</f>
        <v>251.10719523192819</v>
      </c>
      <c r="K77" s="28">
        <f>(20/500)*1000</f>
        <v>40</v>
      </c>
      <c r="L77" s="31">
        <f>J77/K77</f>
        <v>6.277679880798205</v>
      </c>
      <c r="M77" s="30">
        <f>K77/44400</f>
        <v>9.0090090090090091E-4</v>
      </c>
      <c r="N77" s="40">
        <f>(I77/M77)</f>
        <v>33447.478404892834</v>
      </c>
    </row>
    <row r="78" spans="1:14" x14ac:dyDescent="0.4">
      <c r="A78" t="s">
        <v>5</v>
      </c>
      <c r="B78" s="18">
        <v>4.83</v>
      </c>
      <c r="C78" s="21">
        <v>9.6310000000000002</v>
      </c>
      <c r="D78" s="8">
        <f>C78/C79</f>
        <v>0.19033596837944664</v>
      </c>
      <c r="E78" s="13"/>
      <c r="F78" s="8"/>
      <c r="G78" s="13"/>
      <c r="H78" s="14"/>
      <c r="I78" s="6"/>
      <c r="J78" s="6"/>
      <c r="K78" s="6"/>
      <c r="L78" s="6"/>
      <c r="M78" s="6"/>
      <c r="N78" s="13"/>
    </row>
    <row r="79" spans="1:14" ht="15" thickBot="1" x14ac:dyDescent="0.45">
      <c r="A79" t="s">
        <v>4</v>
      </c>
      <c r="B79" s="20">
        <v>6.2119999999999997</v>
      </c>
      <c r="C79" s="16">
        <v>50.6</v>
      </c>
      <c r="D79" s="16"/>
      <c r="E79" s="24">
        <f>C79/(C78+C77+C79)</f>
        <v>2.1187230213492753E-2</v>
      </c>
      <c r="F79" s="16"/>
      <c r="G79" s="17"/>
      <c r="H79" s="27"/>
      <c r="I79" s="16"/>
      <c r="J79" s="16"/>
      <c r="K79" s="16"/>
      <c r="L79" s="16"/>
      <c r="M79" s="16"/>
      <c r="N79" s="17"/>
    </row>
    <row r="80" spans="1:14" s="1" customFormat="1" ht="15" thickBot="1" x14ac:dyDescent="0.45">
      <c r="A80" s="1" t="s">
        <v>68</v>
      </c>
    </row>
    <row r="81" spans="1:11" x14ac:dyDescent="0.4">
      <c r="A81" t="s">
        <v>0</v>
      </c>
      <c r="B81" s="9" t="s">
        <v>2</v>
      </c>
      <c r="C81" s="10" t="s">
        <v>1</v>
      </c>
      <c r="D81" s="10" t="s">
        <v>44</v>
      </c>
      <c r="E81" s="11" t="s">
        <v>48</v>
      </c>
      <c r="G81" s="38" t="s">
        <v>69</v>
      </c>
      <c r="H81" s="25" t="s">
        <v>70</v>
      </c>
      <c r="I81" s="29" t="s">
        <v>69</v>
      </c>
      <c r="J81" s="29" t="s">
        <v>45</v>
      </c>
      <c r="K81" s="26" t="s">
        <v>47</v>
      </c>
    </row>
    <row r="82" spans="1:11" x14ac:dyDescent="0.4">
      <c r="A82" t="s">
        <v>3</v>
      </c>
      <c r="B82" s="18">
        <v>3.14</v>
      </c>
      <c r="C82" s="21">
        <v>2527.8000000000002</v>
      </c>
      <c r="D82" s="8">
        <f>C82/C84</f>
        <v>46.212065813528341</v>
      </c>
      <c r="E82" s="23">
        <f>C83/(C82+C83)</f>
        <v>3.8450367814397857E-3</v>
      </c>
      <c r="G82" s="39">
        <f>(D78-0.0135)/0.0051</f>
        <v>34.673719290087568</v>
      </c>
      <c r="H82" s="33">
        <f>((E77*1000)/1.1)</f>
        <v>3.7454390985808046</v>
      </c>
      <c r="I82" s="32">
        <f>(H82/120.15)*1000</f>
        <v>31.173026205416601</v>
      </c>
      <c r="J82" s="35">
        <f>AVERAGE(I82,I83)</f>
        <v>30.132863427831388</v>
      </c>
      <c r="K82" s="13">
        <f>STDEV(I82,I83)</f>
        <v>1.4710123071366794</v>
      </c>
    </row>
    <row r="83" spans="1:11" ht="15" thickBot="1" x14ac:dyDescent="0.45">
      <c r="A83" t="s">
        <v>5</v>
      </c>
      <c r="B83" s="18">
        <v>4.83</v>
      </c>
      <c r="C83" s="21">
        <v>9.7569999999999997</v>
      </c>
      <c r="D83" s="8">
        <f>C83/C84</f>
        <v>0.17837294332723946</v>
      </c>
      <c r="E83" s="13"/>
      <c r="G83" s="39">
        <f>(D83-0.0135)/0.0051</f>
        <v>32.328028103380284</v>
      </c>
      <c r="H83" s="36">
        <f>((E82*1000)/1.1)</f>
        <v>3.4954879831270778</v>
      </c>
      <c r="I83" s="37">
        <f>(H83/120.15)*1000</f>
        <v>29.092700650246172</v>
      </c>
      <c r="J83" s="16"/>
      <c r="K83" s="17"/>
    </row>
    <row r="84" spans="1:11" ht="15" thickBot="1" x14ac:dyDescent="0.45">
      <c r="A84" t="s">
        <v>4</v>
      </c>
      <c r="B84" s="20">
        <v>6.2119999999999997</v>
      </c>
      <c r="C84" s="16">
        <v>54.7</v>
      </c>
      <c r="D84" s="16"/>
      <c r="E84" s="24">
        <f>C84/(C83+C82+C84)</f>
        <v>2.110130284150067E-2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08699-6F41-4623-8037-CAD45812226F}">
  <dimension ref="A1:H102"/>
  <sheetViews>
    <sheetView zoomScale="83" workbookViewId="0"/>
  </sheetViews>
  <sheetFormatPr defaultRowHeight="14.6" x14ac:dyDescent="0.4"/>
  <cols>
    <col min="1" max="1" width="12.23046875" customWidth="1"/>
    <col min="2" max="3" width="8.84375" bestFit="1" customWidth="1"/>
    <col min="4" max="4" width="9.53515625" customWidth="1"/>
    <col min="5" max="5" width="11.23046875" customWidth="1"/>
    <col min="6" max="6" width="8.84375" bestFit="1" customWidth="1"/>
    <col min="7" max="7" width="11.84375" bestFit="1" customWidth="1"/>
    <col min="8" max="8" width="13.23046875" customWidth="1"/>
  </cols>
  <sheetData>
    <row r="1" spans="1:8" s="38" customFormat="1" x14ac:dyDescent="0.4">
      <c r="A1" s="38" t="s">
        <v>112</v>
      </c>
    </row>
    <row r="2" spans="1:8" s="4" customFormat="1" x14ac:dyDescent="0.4">
      <c r="A2" s="4" t="s">
        <v>49</v>
      </c>
    </row>
    <row r="3" spans="1:8" s="1" customFormat="1" ht="15" thickBot="1" x14ac:dyDescent="0.45">
      <c r="A3" s="1" t="s">
        <v>25</v>
      </c>
    </row>
    <row r="4" spans="1:8" x14ac:dyDescent="0.4">
      <c r="A4" t="s">
        <v>0</v>
      </c>
      <c r="B4" s="9" t="s">
        <v>2</v>
      </c>
      <c r="C4" s="10" t="s">
        <v>1</v>
      </c>
      <c r="D4" s="11" t="s">
        <v>44</v>
      </c>
      <c r="E4" s="9" t="s">
        <v>48</v>
      </c>
      <c r="F4" s="10" t="s">
        <v>45</v>
      </c>
      <c r="G4" s="11" t="s">
        <v>47</v>
      </c>
      <c r="H4" s="21" t="s">
        <v>52</v>
      </c>
    </row>
    <row r="5" spans="1:8" x14ac:dyDescent="0.4">
      <c r="A5" t="s">
        <v>3</v>
      </c>
      <c r="B5" s="18">
        <v>3.165</v>
      </c>
      <c r="C5" s="6">
        <v>161.6</v>
      </c>
      <c r="D5" s="19">
        <f>C5/C7</f>
        <v>42.526315789473685</v>
      </c>
      <c r="E5" s="12">
        <f>C6/(C5+C6+C7)</f>
        <v>1.207729468599034E-3</v>
      </c>
      <c r="F5" s="7">
        <f>AVERAGE(E5,E10)</f>
        <v>1.2624221062682163E-3</v>
      </c>
      <c r="G5" s="13">
        <f>STDEV(E5,E10)</f>
        <v>7.7347069953715201E-5</v>
      </c>
    </row>
    <row r="6" spans="1:8" x14ac:dyDescent="0.4">
      <c r="A6" t="s">
        <v>5</v>
      </c>
      <c r="B6" s="18">
        <v>4.9039999999999999</v>
      </c>
      <c r="C6" s="6">
        <f>2*10^-1</f>
        <v>0.2</v>
      </c>
      <c r="D6" s="19">
        <f>C6/C7</f>
        <v>5.2631578947368425E-2</v>
      </c>
      <c r="E6" s="14"/>
      <c r="F6" s="8"/>
      <c r="G6" s="13"/>
      <c r="H6">
        <f>((D6-0.0345)/0.0024)</f>
        <v>7.5548245614035103</v>
      </c>
    </row>
    <row r="7" spans="1:8" ht="15" thickBot="1" x14ac:dyDescent="0.45">
      <c r="A7" t="s">
        <v>4</v>
      </c>
      <c r="B7" s="20">
        <v>6.2119999999999997</v>
      </c>
      <c r="C7" s="16">
        <v>3.8</v>
      </c>
      <c r="D7" s="17"/>
      <c r="E7" s="15">
        <f>C7/(C6+C5+C7)</f>
        <v>2.2946859903381644E-2</v>
      </c>
      <c r="F7" s="16"/>
      <c r="G7" s="17"/>
    </row>
    <row r="8" spans="1:8" s="1" customFormat="1" x14ac:dyDescent="0.4">
      <c r="A8" s="1" t="s">
        <v>24</v>
      </c>
    </row>
    <row r="9" spans="1:8" x14ac:dyDescent="0.4">
      <c r="A9" t="s">
        <v>0</v>
      </c>
      <c r="B9" t="s">
        <v>2</v>
      </c>
      <c r="C9" t="s">
        <v>1</v>
      </c>
      <c r="D9" t="s">
        <v>44</v>
      </c>
      <c r="E9" t="s">
        <v>48</v>
      </c>
    </row>
    <row r="10" spans="1:8" x14ac:dyDescent="0.4">
      <c r="A10" t="s">
        <v>3</v>
      </c>
      <c r="B10" s="2">
        <v>3.165</v>
      </c>
      <c r="C10">
        <v>128.9</v>
      </c>
      <c r="D10" s="2">
        <f>C10/C12</f>
        <v>37.911764705882355</v>
      </c>
      <c r="E10" s="3">
        <f>C11/(C10+C11)</f>
        <v>1.3171147439373985E-3</v>
      </c>
    </row>
    <row r="11" spans="1:8" x14ac:dyDescent="0.4">
      <c r="A11" t="s">
        <v>5</v>
      </c>
      <c r="B11" s="2">
        <v>4.9039999999999999</v>
      </c>
      <c r="C11">
        <v>0.17</v>
      </c>
      <c r="D11" s="2">
        <f>C11/C12</f>
        <v>0.05</v>
      </c>
    </row>
    <row r="12" spans="1:8" x14ac:dyDescent="0.4">
      <c r="A12" t="s">
        <v>4</v>
      </c>
      <c r="B12" s="2">
        <v>6.2119999999999997</v>
      </c>
      <c r="C12">
        <v>3.4</v>
      </c>
      <c r="E12" s="3">
        <f>C12/(C11+C10+C12)</f>
        <v>2.5666188570997207E-2</v>
      </c>
    </row>
    <row r="13" spans="1:8" s="1" customFormat="1" x14ac:dyDescent="0.4">
      <c r="A13" s="1" t="s">
        <v>26</v>
      </c>
    </row>
    <row r="14" spans="1:8" x14ac:dyDescent="0.4">
      <c r="A14" t="s">
        <v>0</v>
      </c>
      <c r="B14" t="s">
        <v>2</v>
      </c>
      <c r="C14" t="s">
        <v>1</v>
      </c>
      <c r="D14" t="s">
        <v>44</v>
      </c>
      <c r="E14" t="s">
        <v>48</v>
      </c>
      <c r="F14" t="s">
        <v>45</v>
      </c>
      <c r="G14" t="s">
        <v>47</v>
      </c>
    </row>
    <row r="15" spans="1:8" x14ac:dyDescent="0.4">
      <c r="A15" t="s">
        <v>3</v>
      </c>
      <c r="B15" s="2">
        <v>3.165</v>
      </c>
      <c r="C15">
        <v>177.3</v>
      </c>
      <c r="D15" s="2">
        <f>C15/C17</f>
        <v>39.400000000000006</v>
      </c>
      <c r="E15" s="3">
        <f>C16/(C15+C16)</f>
        <v>1.1267605633802818E-3</v>
      </c>
      <c r="F15" s="3">
        <f>AVERAGE(E15,E20)</f>
        <v>9.8165906449888297E-4</v>
      </c>
      <c r="G15">
        <f>STDEV(E15,E20)</f>
        <v>2.052045076387387E-4</v>
      </c>
    </row>
    <row r="16" spans="1:8" x14ac:dyDescent="0.4">
      <c r="A16" t="s">
        <v>5</v>
      </c>
      <c r="B16" s="2">
        <v>4.9039999999999999</v>
      </c>
      <c r="C16">
        <v>0.2</v>
      </c>
      <c r="D16" s="2">
        <f>C16/C17</f>
        <v>4.4444444444444446E-2</v>
      </c>
      <c r="F16" s="2"/>
    </row>
    <row r="17" spans="1:7" x14ac:dyDescent="0.4">
      <c r="A17" t="s">
        <v>4</v>
      </c>
      <c r="B17" s="2">
        <v>6.2119999999999997</v>
      </c>
      <c r="C17">
        <v>4.5</v>
      </c>
      <c r="E17" s="3">
        <f>C17/(C16+C15+C17)</f>
        <v>2.4725274725274724E-2</v>
      </c>
    </row>
    <row r="18" spans="1:7" s="1" customFormat="1" x14ac:dyDescent="0.4">
      <c r="A18" s="1" t="s">
        <v>27</v>
      </c>
    </row>
    <row r="19" spans="1:7" x14ac:dyDescent="0.4">
      <c r="A19" t="s">
        <v>0</v>
      </c>
      <c r="B19" t="s">
        <v>2</v>
      </c>
      <c r="C19" t="s">
        <v>1</v>
      </c>
      <c r="D19" t="s">
        <v>44</v>
      </c>
      <c r="E19" t="s">
        <v>48</v>
      </c>
    </row>
    <row r="20" spans="1:7" x14ac:dyDescent="0.4">
      <c r="A20" t="s">
        <v>3</v>
      </c>
      <c r="B20" s="2">
        <v>3.165</v>
      </c>
      <c r="C20">
        <v>191.1</v>
      </c>
      <c r="D20" s="2">
        <f>C20/C22</f>
        <v>39.8125</v>
      </c>
      <c r="E20" s="3">
        <f>C21/(C20+C21)</f>
        <v>8.3655756561748409E-4</v>
      </c>
    </row>
    <row r="21" spans="1:7" x14ac:dyDescent="0.4">
      <c r="A21" t="s">
        <v>5</v>
      </c>
      <c r="B21" s="2">
        <v>4.9039999999999999</v>
      </c>
      <c r="C21">
        <v>0.16</v>
      </c>
      <c r="D21" s="2">
        <f>C21/C22</f>
        <v>3.3333333333333333E-2</v>
      </c>
    </row>
    <row r="22" spans="1:7" x14ac:dyDescent="0.4">
      <c r="A22" t="s">
        <v>4</v>
      </c>
      <c r="B22" s="2">
        <v>6.2119999999999997</v>
      </c>
      <c r="C22">
        <v>4.8</v>
      </c>
      <c r="E22" s="3">
        <f>C22/(C21+C20+C22)</f>
        <v>2.4482301336325615E-2</v>
      </c>
    </row>
    <row r="23" spans="1:7" s="1" customFormat="1" x14ac:dyDescent="0.4">
      <c r="A23" s="1" t="s">
        <v>28</v>
      </c>
    </row>
    <row r="24" spans="1:7" x14ac:dyDescent="0.4">
      <c r="A24" t="s">
        <v>0</v>
      </c>
      <c r="B24" t="s">
        <v>2</v>
      </c>
      <c r="C24" t="s">
        <v>1</v>
      </c>
      <c r="D24" t="s">
        <v>44</v>
      </c>
      <c r="E24" t="s">
        <v>48</v>
      </c>
      <c r="F24" t="s">
        <v>45</v>
      </c>
      <c r="G24" t="s">
        <v>47</v>
      </c>
    </row>
    <row r="25" spans="1:7" x14ac:dyDescent="0.4">
      <c r="A25" t="s">
        <v>3</v>
      </c>
      <c r="B25" s="2">
        <v>3.165</v>
      </c>
      <c r="C25">
        <v>113.6</v>
      </c>
      <c r="D25" s="2">
        <f>C25/C27</f>
        <v>37.866666666666667</v>
      </c>
      <c r="E25" s="3">
        <f>C26/(C25+C26)</f>
        <v>1.2308774397749255E-3</v>
      </c>
      <c r="F25" s="3">
        <f>AVERAGE(E25,E30)</f>
        <v>1.4952979424118589E-3</v>
      </c>
      <c r="G25">
        <f>STDEV(E25,E30)</f>
        <v>3.7394706099866192E-4</v>
      </c>
    </row>
    <row r="26" spans="1:7" x14ac:dyDescent="0.4">
      <c r="A26" t="s">
        <v>5</v>
      </c>
      <c r="B26" s="2">
        <v>4.9039999999999999</v>
      </c>
      <c r="C26">
        <v>0.14000000000000001</v>
      </c>
      <c r="D26" s="2">
        <f>C26/C27</f>
        <v>4.6666666666666669E-2</v>
      </c>
      <c r="F26" s="2"/>
    </row>
    <row r="27" spans="1:7" x14ac:dyDescent="0.4">
      <c r="A27" t="s">
        <v>4</v>
      </c>
      <c r="B27" s="2">
        <v>6.2119999999999997</v>
      </c>
      <c r="C27">
        <v>3</v>
      </c>
      <c r="E27" s="3">
        <f>C27/(C26+C25+C27)</f>
        <v>2.569813260236423E-2</v>
      </c>
    </row>
    <row r="28" spans="1:7" s="1" customFormat="1" x14ac:dyDescent="0.4">
      <c r="A28" s="1" t="s">
        <v>29</v>
      </c>
    </row>
    <row r="29" spans="1:7" x14ac:dyDescent="0.4">
      <c r="A29" t="s">
        <v>0</v>
      </c>
      <c r="B29" t="s">
        <v>2</v>
      </c>
      <c r="C29" t="s">
        <v>1</v>
      </c>
      <c r="D29" t="s">
        <v>44</v>
      </c>
      <c r="E29" t="s">
        <v>48</v>
      </c>
    </row>
    <row r="30" spans="1:7" x14ac:dyDescent="0.4">
      <c r="A30" t="s">
        <v>3</v>
      </c>
      <c r="B30" s="2">
        <v>3.165</v>
      </c>
      <c r="C30">
        <v>124.8</v>
      </c>
      <c r="D30" s="2">
        <f>C30/C32</f>
        <v>29.714285714285712</v>
      </c>
      <c r="E30" s="3">
        <f>C31/(C30+C31)</f>
        <v>1.7597184450487923E-3</v>
      </c>
    </row>
    <row r="31" spans="1:7" x14ac:dyDescent="0.4">
      <c r="A31" t="s">
        <v>5</v>
      </c>
      <c r="B31" s="2">
        <v>4.9039999999999999</v>
      </c>
      <c r="C31">
        <v>0.22</v>
      </c>
      <c r="D31" s="2">
        <f>C31/C32</f>
        <v>5.2380952380952382E-2</v>
      </c>
    </row>
    <row r="32" spans="1:7" x14ac:dyDescent="0.4">
      <c r="A32" t="s">
        <v>4</v>
      </c>
      <c r="B32" s="2">
        <v>6.2119999999999997</v>
      </c>
      <c r="C32">
        <v>4.2</v>
      </c>
      <c r="E32" s="3">
        <f>C32/(C31+C30+C32)</f>
        <v>3.2502708559046592E-2</v>
      </c>
    </row>
    <row r="33" spans="1:7" s="1" customFormat="1" x14ac:dyDescent="0.4">
      <c r="A33" s="1" t="s">
        <v>30</v>
      </c>
    </row>
    <row r="34" spans="1:7" x14ac:dyDescent="0.4">
      <c r="A34" t="s">
        <v>0</v>
      </c>
      <c r="B34" t="s">
        <v>2</v>
      </c>
      <c r="C34" t="s">
        <v>1</v>
      </c>
      <c r="D34" t="s">
        <v>44</v>
      </c>
      <c r="E34" t="s">
        <v>48</v>
      </c>
      <c r="F34" t="s">
        <v>45</v>
      </c>
      <c r="G34" t="s">
        <v>47</v>
      </c>
    </row>
    <row r="35" spans="1:7" x14ac:dyDescent="0.4">
      <c r="A35" t="s">
        <v>3</v>
      </c>
      <c r="B35" s="2">
        <v>3.165</v>
      </c>
      <c r="C35">
        <v>125.2</v>
      </c>
      <c r="D35" s="2">
        <f>C35/C37</f>
        <v>40.387096774193552</v>
      </c>
      <c r="E35" s="3">
        <f>C36/(C35+C36)</f>
        <v>1.2763241863433313E-3</v>
      </c>
      <c r="F35" s="3">
        <f>AVERAGE(E35,E40)</f>
        <v>1.1748587254002984E-3</v>
      </c>
      <c r="G35">
        <f>STDEV(E35,E40)</f>
        <v>1.434938309780747E-4</v>
      </c>
    </row>
    <row r="36" spans="1:7" x14ac:dyDescent="0.4">
      <c r="A36" t="s">
        <v>5</v>
      </c>
      <c r="B36" s="2">
        <v>4.9039999999999999</v>
      </c>
      <c r="C36">
        <v>0.16</v>
      </c>
      <c r="D36" s="2">
        <f>C36/C37</f>
        <v>5.1612903225806452E-2</v>
      </c>
      <c r="F36" s="2"/>
    </row>
    <row r="37" spans="1:7" x14ac:dyDescent="0.4">
      <c r="A37" t="s">
        <v>4</v>
      </c>
      <c r="B37" s="2">
        <v>6.2119999999999997</v>
      </c>
      <c r="C37">
        <v>3.1</v>
      </c>
      <c r="E37" s="3">
        <f>C37/(C36+C35+C37)</f>
        <v>2.4132025533239919E-2</v>
      </c>
    </row>
    <row r="38" spans="1:7" s="1" customFormat="1" x14ac:dyDescent="0.4">
      <c r="A38" s="1" t="s">
        <v>31</v>
      </c>
    </row>
    <row r="39" spans="1:7" x14ac:dyDescent="0.4">
      <c r="A39" t="s">
        <v>0</v>
      </c>
      <c r="B39" t="s">
        <v>2</v>
      </c>
      <c r="C39" t="s">
        <v>1</v>
      </c>
      <c r="D39" t="s">
        <v>44</v>
      </c>
      <c r="E39" t="s">
        <v>48</v>
      </c>
    </row>
    <row r="40" spans="1:7" x14ac:dyDescent="0.4">
      <c r="A40" t="s">
        <v>3</v>
      </c>
      <c r="B40" s="2">
        <v>3.165</v>
      </c>
      <c r="C40">
        <v>148.9</v>
      </c>
      <c r="D40" s="2">
        <f>C40/C42</f>
        <v>39.184210526315795</v>
      </c>
      <c r="E40" s="3">
        <f>C41/(C40+C41)</f>
        <v>1.0733932644572655E-3</v>
      </c>
    </row>
    <row r="41" spans="1:7" x14ac:dyDescent="0.4">
      <c r="A41" t="s">
        <v>5</v>
      </c>
      <c r="B41" s="2">
        <v>4.9039999999999999</v>
      </c>
      <c r="C41">
        <v>0.16</v>
      </c>
      <c r="D41" s="2">
        <f>C41/C42</f>
        <v>4.2105263157894743E-2</v>
      </c>
    </row>
    <row r="42" spans="1:7" x14ac:dyDescent="0.4">
      <c r="A42" t="s">
        <v>4</v>
      </c>
      <c r="B42" s="2">
        <v>6.2119999999999997</v>
      </c>
      <c r="C42">
        <v>3.8</v>
      </c>
      <c r="E42" s="3">
        <f>C42/(C41+C40+C42)</f>
        <v>2.4859348423393952E-2</v>
      </c>
    </row>
    <row r="43" spans="1:7" s="1" customFormat="1" x14ac:dyDescent="0.4">
      <c r="A43" s="1" t="s">
        <v>32</v>
      </c>
    </row>
    <row r="44" spans="1:7" x14ac:dyDescent="0.4">
      <c r="A44" t="s">
        <v>0</v>
      </c>
      <c r="B44" t="s">
        <v>2</v>
      </c>
      <c r="C44" t="s">
        <v>1</v>
      </c>
      <c r="D44" t="s">
        <v>44</v>
      </c>
      <c r="E44" t="s">
        <v>48</v>
      </c>
      <c r="F44" t="s">
        <v>45</v>
      </c>
      <c r="G44" t="s">
        <v>47</v>
      </c>
    </row>
    <row r="45" spans="1:7" x14ac:dyDescent="0.4">
      <c r="A45" t="s">
        <v>3</v>
      </c>
      <c r="B45" s="2">
        <v>3.165</v>
      </c>
      <c r="C45">
        <v>141</v>
      </c>
      <c r="D45" s="2">
        <f>C45/C47</f>
        <v>38.108108108108105</v>
      </c>
      <c r="E45" s="3">
        <f>C46/(C45+C46)</f>
        <v>1.0626992561105207E-3</v>
      </c>
      <c r="F45" s="3">
        <f>AVERAGE(E45,E50)</f>
        <v>1.4964909928786962E-3</v>
      </c>
      <c r="G45">
        <f>STDEV(E45,E50)</f>
        <v>6.1347415738293343E-4</v>
      </c>
    </row>
    <row r="46" spans="1:7" x14ac:dyDescent="0.4">
      <c r="A46" t="s">
        <v>5</v>
      </c>
      <c r="B46" s="2">
        <v>4.9039999999999999</v>
      </c>
      <c r="C46">
        <v>0.15</v>
      </c>
      <c r="D46" s="2">
        <f>C46/C47</f>
        <v>4.0540540540540536E-2</v>
      </c>
      <c r="F46" s="2"/>
    </row>
    <row r="47" spans="1:7" x14ac:dyDescent="0.4">
      <c r="A47" t="s">
        <v>4</v>
      </c>
      <c r="B47" s="2">
        <v>6.2119999999999997</v>
      </c>
      <c r="C47">
        <v>3.7</v>
      </c>
      <c r="E47" s="3">
        <f>C47/(C46+C45+C47)</f>
        <v>2.5543665861235763E-2</v>
      </c>
    </row>
    <row r="48" spans="1:7" s="1" customFormat="1" x14ac:dyDescent="0.4">
      <c r="A48" s="1" t="s">
        <v>33</v>
      </c>
    </row>
    <row r="49" spans="1:7" x14ac:dyDescent="0.4">
      <c r="A49" t="s">
        <v>0</v>
      </c>
      <c r="B49" t="s">
        <v>2</v>
      </c>
      <c r="C49" t="s">
        <v>1</v>
      </c>
      <c r="D49" t="s">
        <v>44</v>
      </c>
      <c r="E49" t="s">
        <v>48</v>
      </c>
    </row>
    <row r="50" spans="1:7" x14ac:dyDescent="0.4">
      <c r="A50" t="s">
        <v>3</v>
      </c>
      <c r="B50" s="2">
        <v>3.165</v>
      </c>
      <c r="C50">
        <v>87.9</v>
      </c>
      <c r="D50" s="2">
        <f>C50/C52</f>
        <v>39.954545454545453</v>
      </c>
      <c r="E50" s="3">
        <f>C51/(C50+C51)</f>
        <v>1.9302827296468717E-3</v>
      </c>
    </row>
    <row r="51" spans="1:7" x14ac:dyDescent="0.4">
      <c r="A51" t="s">
        <v>5</v>
      </c>
      <c r="B51" s="2">
        <v>4.9039999999999999</v>
      </c>
      <c r="C51">
        <v>0.17</v>
      </c>
      <c r="D51" s="2">
        <f>C51/C52</f>
        <v>7.7272727272727271E-2</v>
      </c>
    </row>
    <row r="52" spans="1:7" x14ac:dyDescent="0.4">
      <c r="A52" t="s">
        <v>4</v>
      </c>
      <c r="B52" s="2">
        <v>6.2119999999999997</v>
      </c>
      <c r="C52">
        <v>2.2000000000000002</v>
      </c>
      <c r="E52" s="3">
        <f>C52/(C51+C50+C52)</f>
        <v>2.4371330453085188E-2</v>
      </c>
    </row>
    <row r="53" spans="1:7" s="1" customFormat="1" x14ac:dyDescent="0.4">
      <c r="A53" s="1" t="s">
        <v>34</v>
      </c>
    </row>
    <row r="54" spans="1:7" x14ac:dyDescent="0.4">
      <c r="A54" t="s">
        <v>0</v>
      </c>
      <c r="B54" t="s">
        <v>2</v>
      </c>
      <c r="C54" t="s">
        <v>1</v>
      </c>
      <c r="D54" t="s">
        <v>44</v>
      </c>
      <c r="E54" t="s">
        <v>48</v>
      </c>
      <c r="F54" t="s">
        <v>45</v>
      </c>
      <c r="G54" t="s">
        <v>47</v>
      </c>
    </row>
    <row r="55" spans="1:7" x14ac:dyDescent="0.4">
      <c r="A55" t="s">
        <v>3</v>
      </c>
      <c r="B55" s="2">
        <v>3.165</v>
      </c>
      <c r="C55">
        <v>157.80000000000001</v>
      </c>
      <c r="D55" s="2">
        <f>C55/C57</f>
        <v>40.461538461538467</v>
      </c>
      <c r="E55" s="3">
        <f>D56/(D55+D56)</f>
        <v>1.0761537000696336E-3</v>
      </c>
      <c r="F55" s="3">
        <f>AVERAGE(E55,E60)</f>
        <v>1.103119542149332E-3</v>
      </c>
      <c r="G55">
        <f>STDEV(E55,E60)</f>
        <v>3.8135459589920727E-5</v>
      </c>
    </row>
    <row r="56" spans="1:7" x14ac:dyDescent="0.4">
      <c r="A56" t="s">
        <v>5</v>
      </c>
      <c r="B56" s="2">
        <v>4.9039999999999999</v>
      </c>
      <c r="C56">
        <v>0.17</v>
      </c>
      <c r="D56" s="2">
        <f>C56/C57</f>
        <v>4.3589743589743594E-2</v>
      </c>
      <c r="F56" s="2"/>
    </row>
    <row r="57" spans="1:7" x14ac:dyDescent="0.4">
      <c r="A57" t="s">
        <v>4</v>
      </c>
      <c r="B57" s="2">
        <v>6.2119999999999997</v>
      </c>
      <c r="C57">
        <v>3.9</v>
      </c>
      <c r="E57" s="3">
        <f>C57/(C56+C55+C57)</f>
        <v>2.4093408290603569E-2</v>
      </c>
    </row>
    <row r="58" spans="1:7" s="1" customFormat="1" x14ac:dyDescent="0.4">
      <c r="A58" s="1" t="s">
        <v>35</v>
      </c>
    </row>
    <row r="59" spans="1:7" x14ac:dyDescent="0.4">
      <c r="A59" t="s">
        <v>0</v>
      </c>
      <c r="B59" t="s">
        <v>2</v>
      </c>
      <c r="C59" t="s">
        <v>1</v>
      </c>
      <c r="D59" t="s">
        <v>44</v>
      </c>
      <c r="E59" t="s">
        <v>48</v>
      </c>
    </row>
    <row r="60" spans="1:7" x14ac:dyDescent="0.4">
      <c r="A60" t="s">
        <v>3</v>
      </c>
      <c r="B60" s="2">
        <v>3.165</v>
      </c>
      <c r="C60">
        <v>159.1</v>
      </c>
      <c r="D60" s="2">
        <f>C60/C62</f>
        <v>39.774999999999999</v>
      </c>
      <c r="E60" s="3">
        <f>D61/(D60+D61)</f>
        <v>1.1300853842290306E-3</v>
      </c>
    </row>
    <row r="61" spans="1:7" x14ac:dyDescent="0.4">
      <c r="A61" t="s">
        <v>5</v>
      </c>
      <c r="B61" s="2">
        <v>4.9039999999999999</v>
      </c>
      <c r="C61">
        <v>0.18</v>
      </c>
      <c r="D61" s="2">
        <f>C61/C62</f>
        <v>4.4999999999999998E-2</v>
      </c>
    </row>
    <row r="62" spans="1:7" x14ac:dyDescent="0.4">
      <c r="A62" t="s">
        <v>4</v>
      </c>
      <c r="B62" s="2">
        <v>6.2119999999999997</v>
      </c>
      <c r="C62">
        <v>4</v>
      </c>
      <c r="E62" s="3">
        <f>C62/(C61+C60+C62)</f>
        <v>2.4497795198432142E-2</v>
      </c>
    </row>
    <row r="63" spans="1:7" s="1" customFormat="1" x14ac:dyDescent="0.4">
      <c r="A63" s="1" t="s">
        <v>36</v>
      </c>
    </row>
    <row r="64" spans="1:7" x14ac:dyDescent="0.4">
      <c r="A64" t="s">
        <v>0</v>
      </c>
      <c r="B64" t="s">
        <v>2</v>
      </c>
      <c r="C64" t="s">
        <v>1</v>
      </c>
      <c r="D64" t="s">
        <v>44</v>
      </c>
      <c r="E64" t="s">
        <v>48</v>
      </c>
      <c r="F64" t="s">
        <v>45</v>
      </c>
      <c r="G64" t="s">
        <v>47</v>
      </c>
    </row>
    <row r="65" spans="1:7" x14ac:dyDescent="0.4">
      <c r="A65" t="s">
        <v>3</v>
      </c>
      <c r="B65" s="2">
        <v>3.165</v>
      </c>
      <c r="C65">
        <v>117.1</v>
      </c>
      <c r="D65" s="2">
        <f>C65/C67</f>
        <v>40.379310344827587</v>
      </c>
      <c r="E65" s="3">
        <f>D66/(D65+D66)</f>
        <v>1.1941316956670081E-3</v>
      </c>
      <c r="F65" s="3">
        <f>AVERAGE(E65,E70)</f>
        <v>1.2151128194033433E-3</v>
      </c>
      <c r="G65">
        <f>STDEV(E65,E70)</f>
        <v>2.9671789741753446E-5</v>
      </c>
    </row>
    <row r="66" spans="1:7" x14ac:dyDescent="0.4">
      <c r="A66" t="s">
        <v>5</v>
      </c>
      <c r="B66" s="2">
        <v>4.9039999999999999</v>
      </c>
      <c r="C66">
        <v>0.14000000000000001</v>
      </c>
      <c r="D66" s="2">
        <f>C66/C67</f>
        <v>4.8275862068965524E-2</v>
      </c>
      <c r="F66" s="2"/>
    </row>
    <row r="67" spans="1:7" x14ac:dyDescent="0.4">
      <c r="A67" t="s">
        <v>4</v>
      </c>
      <c r="B67" s="2">
        <v>6.2119999999999997</v>
      </c>
      <c r="C67">
        <v>2.9</v>
      </c>
    </row>
    <row r="68" spans="1:7" s="1" customFormat="1" x14ac:dyDescent="0.4">
      <c r="A68" s="1" t="s">
        <v>37</v>
      </c>
    </row>
    <row r="69" spans="1:7" x14ac:dyDescent="0.4">
      <c r="A69" t="s">
        <v>0</v>
      </c>
      <c r="B69" t="s">
        <v>2</v>
      </c>
      <c r="C69" t="s">
        <v>1</v>
      </c>
      <c r="D69" t="s">
        <v>44</v>
      </c>
      <c r="E69" t="s">
        <v>48</v>
      </c>
    </row>
    <row r="70" spans="1:7" x14ac:dyDescent="0.4">
      <c r="A70" t="s">
        <v>3</v>
      </c>
      <c r="B70" s="2">
        <v>3.165</v>
      </c>
      <c r="C70">
        <v>121.2</v>
      </c>
      <c r="D70" s="2">
        <f>C70/C72</f>
        <v>39.096774193548384</v>
      </c>
      <c r="E70" s="3">
        <f>D71/(D70+D71)</f>
        <v>1.2360939431396787E-3</v>
      </c>
    </row>
    <row r="71" spans="1:7" x14ac:dyDescent="0.4">
      <c r="A71" t="s">
        <v>5</v>
      </c>
      <c r="B71" s="2">
        <v>4.9039999999999999</v>
      </c>
      <c r="C71">
        <v>0.15</v>
      </c>
      <c r="D71" s="2">
        <f>C71/C72</f>
        <v>4.8387096774193547E-2</v>
      </c>
    </row>
    <row r="72" spans="1:7" x14ac:dyDescent="0.4">
      <c r="A72" t="s">
        <v>4</v>
      </c>
      <c r="B72" s="2">
        <v>6.2119999999999997</v>
      </c>
      <c r="C72">
        <v>3.1</v>
      </c>
    </row>
    <row r="73" spans="1:7" s="1" customFormat="1" x14ac:dyDescent="0.4">
      <c r="A73" s="1" t="s">
        <v>38</v>
      </c>
    </row>
    <row r="74" spans="1:7" x14ac:dyDescent="0.4">
      <c r="A74" t="s">
        <v>0</v>
      </c>
      <c r="B74" t="s">
        <v>2</v>
      </c>
      <c r="C74" t="s">
        <v>1</v>
      </c>
      <c r="D74" t="s">
        <v>44</v>
      </c>
      <c r="E74" t="s">
        <v>48</v>
      </c>
      <c r="F74" t="s">
        <v>45</v>
      </c>
      <c r="G74" t="s">
        <v>47</v>
      </c>
    </row>
    <row r="75" spans="1:7" x14ac:dyDescent="0.4">
      <c r="A75" t="s">
        <v>3</v>
      </c>
      <c r="B75" s="2">
        <v>3.165</v>
      </c>
      <c r="C75">
        <v>121.2</v>
      </c>
      <c r="D75" s="2">
        <f>C75/C77</f>
        <v>39.096774193548384</v>
      </c>
      <c r="E75" s="3">
        <f>D76/(D75+D76)</f>
        <v>1.2360939431396787E-3</v>
      </c>
      <c r="F75" s="3">
        <f>AVERAGE(E75,E80)</f>
        <v>1.1868751854492478E-3</v>
      </c>
      <c r="G75">
        <f>STDEV(E75,E80)</f>
        <v>6.9605834648962556E-5</v>
      </c>
    </row>
    <row r="76" spans="1:7" x14ac:dyDescent="0.4">
      <c r="A76" t="s">
        <v>5</v>
      </c>
      <c r="B76" s="2">
        <v>4.9039999999999999</v>
      </c>
      <c r="C76">
        <v>0.15</v>
      </c>
      <c r="D76" s="2">
        <f>C76/C77</f>
        <v>4.8387096774193547E-2</v>
      </c>
      <c r="F76" s="2"/>
    </row>
    <row r="77" spans="1:7" x14ac:dyDescent="0.4">
      <c r="A77" t="s">
        <v>4</v>
      </c>
      <c r="B77" s="2">
        <v>6.2119999999999997</v>
      </c>
      <c r="C77">
        <v>3.1</v>
      </c>
    </row>
    <row r="78" spans="1:7" s="1" customFormat="1" x14ac:dyDescent="0.4">
      <c r="A78" s="1" t="s">
        <v>39</v>
      </c>
    </row>
    <row r="79" spans="1:7" x14ac:dyDescent="0.4">
      <c r="A79" t="s">
        <v>0</v>
      </c>
      <c r="B79" t="s">
        <v>2</v>
      </c>
      <c r="C79" t="s">
        <v>1</v>
      </c>
      <c r="D79" t="s">
        <v>44</v>
      </c>
      <c r="E79" t="s">
        <v>48</v>
      </c>
    </row>
    <row r="80" spans="1:7" x14ac:dyDescent="0.4">
      <c r="A80" t="s">
        <v>3</v>
      </c>
      <c r="B80" s="2">
        <v>3.165</v>
      </c>
      <c r="C80">
        <v>131.69999999999999</v>
      </c>
      <c r="D80" s="2">
        <f>C80/C82</f>
        <v>37.628571428571426</v>
      </c>
      <c r="E80" s="3">
        <f>D81/(D80+D81)</f>
        <v>1.1376564277588168E-3</v>
      </c>
    </row>
    <row r="81" spans="1:7" x14ac:dyDescent="0.4">
      <c r="A81" t="s">
        <v>5</v>
      </c>
      <c r="B81" s="2">
        <v>4.9039999999999999</v>
      </c>
      <c r="C81">
        <v>0.15</v>
      </c>
      <c r="D81" s="2">
        <f>C81/C82</f>
        <v>4.2857142857142858E-2</v>
      </c>
    </row>
    <row r="82" spans="1:7" x14ac:dyDescent="0.4">
      <c r="A82" t="s">
        <v>4</v>
      </c>
      <c r="B82" s="2">
        <v>6.2119999999999997</v>
      </c>
      <c r="C82">
        <v>3.5</v>
      </c>
    </row>
    <row r="83" spans="1:7" s="1" customFormat="1" x14ac:dyDescent="0.4">
      <c r="A83" s="1" t="s">
        <v>40</v>
      </c>
    </row>
    <row r="84" spans="1:7" x14ac:dyDescent="0.4">
      <c r="A84" t="s">
        <v>0</v>
      </c>
      <c r="B84" t="s">
        <v>2</v>
      </c>
      <c r="C84" t="s">
        <v>1</v>
      </c>
      <c r="D84" t="s">
        <v>44</v>
      </c>
      <c r="E84" t="s">
        <v>48</v>
      </c>
      <c r="F84" t="s">
        <v>45</v>
      </c>
      <c r="G84" t="s">
        <v>47</v>
      </c>
    </row>
    <row r="85" spans="1:7" x14ac:dyDescent="0.4">
      <c r="A85" t="s">
        <v>3</v>
      </c>
      <c r="B85" s="2">
        <v>3.165</v>
      </c>
      <c r="C85">
        <v>127.5</v>
      </c>
      <c r="D85" s="2">
        <f>C85/C87</f>
        <v>41.129032258064512</v>
      </c>
      <c r="E85" s="3">
        <f>D86/(D85+D86)</f>
        <v>1.6443504815597837E-3</v>
      </c>
      <c r="F85" s="3">
        <f>AVERAGE(E85,E90)</f>
        <v>1.4234077674595853E-3</v>
      </c>
      <c r="G85">
        <f>STDEV(E85,E90)</f>
        <v>3.1246018278802194E-4</v>
      </c>
    </row>
    <row r="86" spans="1:7" x14ac:dyDescent="0.4">
      <c r="A86" t="s">
        <v>5</v>
      </c>
      <c r="B86" s="2">
        <v>4.9039999999999999</v>
      </c>
      <c r="C86">
        <v>0.21</v>
      </c>
      <c r="D86" s="2">
        <f>C86/C87</f>
        <v>6.774193548387096E-2</v>
      </c>
      <c r="F86" s="2"/>
    </row>
    <row r="87" spans="1:7" x14ac:dyDescent="0.4">
      <c r="A87" t="s">
        <v>4</v>
      </c>
      <c r="B87" s="2">
        <v>6.2119999999999997</v>
      </c>
      <c r="C87">
        <v>3.1</v>
      </c>
    </row>
    <row r="88" spans="1:7" s="1" customFormat="1" x14ac:dyDescent="0.4">
      <c r="A88" s="1" t="s">
        <v>41</v>
      </c>
    </row>
    <row r="89" spans="1:7" x14ac:dyDescent="0.4">
      <c r="A89" t="s">
        <v>0</v>
      </c>
      <c r="B89" t="s">
        <v>2</v>
      </c>
      <c r="C89" t="s">
        <v>1</v>
      </c>
      <c r="D89" t="s">
        <v>44</v>
      </c>
      <c r="E89" t="s">
        <v>48</v>
      </c>
    </row>
    <row r="90" spans="1:7" x14ac:dyDescent="0.4">
      <c r="A90" t="s">
        <v>3</v>
      </c>
      <c r="B90" s="2">
        <v>3.165</v>
      </c>
      <c r="C90">
        <v>132.9</v>
      </c>
      <c r="D90" s="2">
        <f>C90/C92</f>
        <v>41.53125</v>
      </c>
      <c r="E90" s="3">
        <f>D91/(D90+D91)</f>
        <v>1.2024650533593868E-3</v>
      </c>
    </row>
    <row r="91" spans="1:7" x14ac:dyDescent="0.4">
      <c r="A91" t="s">
        <v>5</v>
      </c>
      <c r="B91" s="2">
        <v>4.9039999999999999</v>
      </c>
      <c r="C91">
        <v>0.16</v>
      </c>
      <c r="D91" s="2">
        <f>C91/C92</f>
        <v>4.9999999999999996E-2</v>
      </c>
    </row>
    <row r="92" spans="1:7" x14ac:dyDescent="0.4">
      <c r="A92" t="s">
        <v>4</v>
      </c>
      <c r="B92" s="2">
        <v>6.2119999999999997</v>
      </c>
      <c r="C92">
        <v>3.2</v>
      </c>
    </row>
    <row r="93" spans="1:7" s="1" customFormat="1" x14ac:dyDescent="0.4">
      <c r="A93" s="1" t="s">
        <v>42</v>
      </c>
    </row>
    <row r="94" spans="1:7" x14ac:dyDescent="0.4">
      <c r="A94" t="s">
        <v>0</v>
      </c>
      <c r="B94" t="s">
        <v>2</v>
      </c>
      <c r="C94" t="s">
        <v>1</v>
      </c>
      <c r="D94" t="s">
        <v>44</v>
      </c>
      <c r="E94" t="s">
        <v>48</v>
      </c>
      <c r="F94" t="s">
        <v>45</v>
      </c>
      <c r="G94" t="s">
        <v>47</v>
      </c>
    </row>
    <row r="95" spans="1:7" x14ac:dyDescent="0.4">
      <c r="A95" t="s">
        <v>3</v>
      </c>
      <c r="B95" s="2">
        <v>3.165</v>
      </c>
      <c r="C95">
        <v>140.4</v>
      </c>
      <c r="D95" s="2">
        <f>C95/C97</f>
        <v>37.945945945945944</v>
      </c>
      <c r="E95" s="3">
        <f>D96/(D95+D96)</f>
        <v>1.2804097311139564E-3</v>
      </c>
      <c r="F95" s="3">
        <f>AVERAGE(E95,E100)</f>
        <v>1.4775100310857687E-3</v>
      </c>
      <c r="G95">
        <f>STDEV(E95,E100)</f>
        <v>2.7874191736794235E-4</v>
      </c>
    </row>
    <row r="96" spans="1:7" x14ac:dyDescent="0.4">
      <c r="A96" t="s">
        <v>5</v>
      </c>
      <c r="B96" s="2">
        <v>4.9039999999999999</v>
      </c>
      <c r="C96">
        <v>0.18</v>
      </c>
      <c r="D96" s="2">
        <f>C96/C97</f>
        <v>4.8648648648648644E-2</v>
      </c>
      <c r="F96" s="2"/>
    </row>
    <row r="97" spans="1:5" x14ac:dyDescent="0.4">
      <c r="A97" t="s">
        <v>4</v>
      </c>
      <c r="B97" s="2">
        <v>6.2119999999999997</v>
      </c>
      <c r="C97">
        <v>3.7</v>
      </c>
    </row>
    <row r="98" spans="1:5" s="1" customFormat="1" x14ac:dyDescent="0.4">
      <c r="A98" s="1" t="s">
        <v>43</v>
      </c>
    </row>
    <row r="99" spans="1:5" x14ac:dyDescent="0.4">
      <c r="A99" t="s">
        <v>0</v>
      </c>
      <c r="B99" t="s">
        <v>2</v>
      </c>
      <c r="C99" t="s">
        <v>1</v>
      </c>
      <c r="D99" t="s">
        <v>44</v>
      </c>
      <c r="E99" t="s">
        <v>48</v>
      </c>
    </row>
    <row r="100" spans="1:5" x14ac:dyDescent="0.4">
      <c r="A100" t="s">
        <v>3</v>
      </c>
      <c r="B100" s="2">
        <v>3.165</v>
      </c>
      <c r="C100">
        <v>77.5</v>
      </c>
      <c r="D100" s="2">
        <f>C100/C102</f>
        <v>26.724137931034484</v>
      </c>
      <c r="E100" s="3">
        <f>D101/(D100+D101)</f>
        <v>1.6746103310575811E-3</v>
      </c>
    </row>
    <row r="101" spans="1:5" x14ac:dyDescent="0.4">
      <c r="A101" t="s">
        <v>5</v>
      </c>
      <c r="B101" s="2">
        <v>4.9039999999999999</v>
      </c>
      <c r="C101">
        <v>0.13</v>
      </c>
      <c r="D101" s="2">
        <f>C101/C102</f>
        <v>4.4827586206896558E-2</v>
      </c>
    </row>
    <row r="102" spans="1:5" x14ac:dyDescent="0.4">
      <c r="A102" t="s">
        <v>4</v>
      </c>
      <c r="B102" s="2">
        <v>6.2119999999999997</v>
      </c>
      <c r="C102">
        <v>2.9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old_biotransf4 21102020</vt:lpstr>
      <vt:lpstr>feed patterns 26102020</vt:lpstr>
      <vt:lpstr>temperatures 29102020</vt:lpstr>
      <vt:lpstr>bead size 04122020</vt:lpstr>
      <vt:lpstr>calibration curve 20_10_2020</vt:lpstr>
      <vt:lpstr>old_calibrationcurve 13_10_2020</vt:lpstr>
      <vt:lpstr>old_biotransf3 20102020</vt:lpstr>
      <vt:lpstr>old_biotransf2 15102020</vt:lpstr>
      <vt:lpstr>old_biotranf1 13_10_2020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Friederike Nintzel</dc:creator>
  <cp:lastModifiedBy>Friederike Nintzel</cp:lastModifiedBy>
  <dcterms:created xsi:type="dcterms:W3CDTF">2020-10-14T07:52:17Z</dcterms:created>
  <dcterms:modified xsi:type="dcterms:W3CDTF">2021-03-25T01:23:40Z</dcterms:modified>
</cp:coreProperties>
</file>